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haley/Downloads/"/>
    </mc:Choice>
  </mc:AlternateContent>
  <xr:revisionPtr revIDLastSave="0" documentId="8_{CDD0F7AA-98D4-6C4A-B65B-049D445866B1}" xr6:coauthVersionLast="47" xr6:coauthVersionMax="47" xr10:uidLastSave="{00000000-0000-0000-0000-000000000000}"/>
  <bookViews>
    <workbookView xWindow="20" yWindow="660" windowWidth="29400" windowHeight="18460" activeTab="4" xr2:uid="{00000000-000D-0000-FFFF-FFFF00000000}"/>
  </bookViews>
  <sheets>
    <sheet name="DATA" sheetId="2" r:id="rId1"/>
    <sheet name="About" sheetId="1" r:id="rId2"/>
    <sheet name="Calculations" sheetId="3" r:id="rId3"/>
    <sheet name="Aging pivot" sheetId="4" r:id="rId4"/>
    <sheet name="Sheet1" sheetId="5" r:id="rId5"/>
  </sheets>
  <definedNames>
    <definedName name="_xlnm._FilterDatabase" localSheetId="0" hidden="1">DATA!$A$1:$R$111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4" l="1"/>
  <c r="B33" i="4"/>
  <c r="C32" i="4"/>
  <c r="C34" i="4" s="1"/>
  <c r="B32" i="4"/>
  <c r="B34" i="4" s="1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D19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E8" i="4"/>
  <c r="D8" i="4"/>
  <c r="C8" i="4"/>
  <c r="B8" i="4"/>
  <c r="E7" i="4"/>
  <c r="D7" i="4"/>
  <c r="C7" i="4"/>
  <c r="B7" i="4"/>
  <c r="E6" i="4"/>
  <c r="D6" i="4"/>
  <c r="C6" i="4"/>
  <c r="B6" i="4"/>
  <c r="E5" i="4"/>
  <c r="E9" i="4" s="1"/>
  <c r="D5" i="4"/>
  <c r="D9" i="4" s="1"/>
  <c r="C5" i="4"/>
  <c r="B5" i="4"/>
  <c r="B9" i="4" s="1"/>
  <c r="B25" i="3"/>
  <c r="C20" i="3"/>
  <c r="B20" i="3"/>
  <c r="D20" i="3" s="1"/>
  <c r="C19" i="3"/>
  <c r="B19" i="3"/>
  <c r="D19" i="3" s="1"/>
  <c r="C18" i="3"/>
  <c r="C21" i="3" s="1"/>
  <c r="B18" i="3"/>
  <c r="D18" i="3" s="1"/>
  <c r="D17" i="3"/>
  <c r="C17" i="3"/>
  <c r="B17" i="3"/>
  <c r="B21" i="3" s="1"/>
  <c r="B13" i="3"/>
  <c r="B12" i="3"/>
  <c r="B24" i="3" s="1"/>
  <c r="B11" i="3"/>
  <c r="B9" i="3"/>
  <c r="B7" i="3"/>
  <c r="B6" i="3"/>
  <c r="B8" i="3" s="1"/>
  <c r="B5" i="3"/>
  <c r="B4" i="3"/>
  <c r="R111" i="2"/>
  <c r="D111" i="2"/>
  <c r="R110" i="2"/>
  <c r="D110" i="2"/>
  <c r="R109" i="2"/>
  <c r="D109" i="2"/>
  <c r="R108" i="2"/>
  <c r="D108" i="2"/>
  <c r="R107" i="2"/>
  <c r="R106" i="2"/>
  <c r="D106" i="2"/>
  <c r="R105" i="2"/>
  <c r="D105" i="2"/>
  <c r="R104" i="2"/>
  <c r="R103" i="2"/>
  <c r="R102" i="2"/>
  <c r="D102" i="2"/>
  <c r="R101" i="2"/>
  <c r="D101" i="2"/>
  <c r="R100" i="2"/>
  <c r="R99" i="2"/>
  <c r="R98" i="2"/>
  <c r="R97" i="2"/>
  <c r="R96" i="2"/>
  <c r="R95" i="2"/>
  <c r="R94" i="2"/>
  <c r="D94" i="2"/>
  <c r="R93" i="2"/>
  <c r="D93" i="2"/>
  <c r="R92" i="2"/>
  <c r="R91" i="2"/>
  <c r="D91" i="2"/>
  <c r="R90" i="2"/>
  <c r="R89" i="2"/>
  <c r="R88" i="2"/>
  <c r="R87" i="2"/>
  <c r="D87" i="2"/>
  <c r="R86" i="2"/>
  <c r="R85" i="2"/>
  <c r="D85" i="2"/>
  <c r="R84" i="2"/>
  <c r="R83" i="2"/>
  <c r="R82" i="2"/>
  <c r="R81" i="2"/>
  <c r="R80" i="2"/>
  <c r="R79" i="2"/>
  <c r="R78" i="2"/>
  <c r="R77" i="2"/>
  <c r="D77" i="2"/>
  <c r="R76" i="2"/>
  <c r="D76" i="2"/>
  <c r="R75" i="2"/>
  <c r="D75" i="2"/>
  <c r="R74" i="2"/>
  <c r="R73" i="2"/>
  <c r="R72" i="2"/>
  <c r="D72" i="2"/>
  <c r="R71" i="2"/>
  <c r="R70" i="2"/>
  <c r="D70" i="2"/>
  <c r="R69" i="2"/>
  <c r="D69" i="2"/>
  <c r="R68" i="2"/>
  <c r="R67" i="2"/>
  <c r="R66" i="2"/>
  <c r="R65" i="2"/>
  <c r="D65" i="2"/>
  <c r="R64" i="2"/>
  <c r="R63" i="2"/>
  <c r="R62" i="2"/>
  <c r="D62" i="2"/>
  <c r="R61" i="2"/>
  <c r="D61" i="2"/>
  <c r="R60" i="2"/>
  <c r="R59" i="2"/>
  <c r="R58" i="2"/>
  <c r="R57" i="2"/>
  <c r="D57" i="2"/>
  <c r="R56" i="2"/>
  <c r="R55" i="2"/>
  <c r="R54" i="2"/>
  <c r="R53" i="2"/>
  <c r="R52" i="2"/>
  <c r="R51" i="2"/>
  <c r="D51" i="2"/>
  <c r="R50" i="2"/>
  <c r="R49" i="2"/>
  <c r="R48" i="2"/>
  <c r="R47" i="2"/>
  <c r="D47" i="2"/>
  <c r="R46" i="2"/>
  <c r="D46" i="2"/>
  <c r="R45" i="2"/>
  <c r="R44" i="2"/>
  <c r="R43" i="2"/>
  <c r="D43" i="2"/>
  <c r="R42" i="2"/>
  <c r="R41" i="2"/>
  <c r="R40" i="2"/>
  <c r="R39" i="2"/>
  <c r="D39" i="2"/>
  <c r="R38" i="2"/>
  <c r="R37" i="2"/>
  <c r="R36" i="2"/>
  <c r="D36" i="2"/>
  <c r="R35" i="2"/>
  <c r="R34" i="2"/>
  <c r="R33" i="2"/>
  <c r="R32" i="2"/>
  <c r="D32" i="2"/>
  <c r="R31" i="2"/>
  <c r="R30" i="2"/>
  <c r="R29" i="2"/>
  <c r="D29" i="2"/>
  <c r="R28" i="2"/>
  <c r="D28" i="2"/>
  <c r="R27" i="2"/>
  <c r="R26" i="2"/>
  <c r="R25" i="2"/>
  <c r="R24" i="2"/>
  <c r="R23" i="2"/>
  <c r="D23" i="2"/>
  <c r="R22" i="2"/>
  <c r="D22" i="2"/>
  <c r="R21" i="2"/>
  <c r="D21" i="2"/>
  <c r="R20" i="2"/>
  <c r="D20" i="2"/>
  <c r="R19" i="2"/>
  <c r="R18" i="2"/>
  <c r="D18" i="2"/>
  <c r="R17" i="2"/>
  <c r="R16" i="2"/>
  <c r="R15" i="2"/>
  <c r="R14" i="2"/>
  <c r="R13" i="2"/>
  <c r="R12" i="2"/>
  <c r="R11" i="2"/>
  <c r="R10" i="2"/>
  <c r="R9" i="2"/>
  <c r="R8" i="2"/>
  <c r="D8" i="2"/>
  <c r="R7" i="2"/>
  <c r="R6" i="2"/>
  <c r="R5" i="2"/>
  <c r="R4" i="2"/>
  <c r="R3" i="2"/>
  <c r="D3" i="2"/>
  <c r="R2" i="2"/>
  <c r="C9" i="4" l="1"/>
  <c r="D21" i="3"/>
  <c r="D33" i="4"/>
  <c r="D32" i="4"/>
  <c r="D34" i="4" s="1"/>
  <c r="B10" i="3"/>
  <c r="E19" i="3" l="1"/>
  <c r="E18" i="3"/>
  <c r="E20" i="3"/>
  <c r="E17" i="3"/>
  <c r="E21" i="3" s="1"/>
</calcChain>
</file>

<file path=xl/sharedStrings.xml><?xml version="1.0" encoding="utf-8"?>
<sst xmlns="http://schemas.openxmlformats.org/spreadsheetml/2006/main" count="533" uniqueCount="212">
  <si>
    <t>Snapshot</t>
  </si>
  <si>
    <t>Grain</t>
  </si>
  <si>
    <t>One row per patient account on the 90+ extract (not per charge)</t>
  </si>
  <si>
    <t>See</t>
  </si>
  <si>
    <t>Ledger · Calcs · Aging pivot (tables + pie)</t>
  </si>
  <si>
    <t>Responsible Party Patient ID</t>
  </si>
  <si>
    <t>Patient ID</t>
  </si>
  <si>
    <t>Total owing</t>
  </si>
  <si>
    <t>Patient 0–30</t>
  </si>
  <si>
    <t>Patient 31–60</t>
  </si>
  <si>
    <t>Patient 61–90</t>
  </si>
  <si>
    <t>Patient over 90</t>
  </si>
  <si>
    <t>Insurance 0–30</t>
  </si>
  <si>
    <t>Insurance 31–60</t>
  </si>
  <si>
    <t>Insurance 61–90</t>
  </si>
  <si>
    <t>Insurance over 90</t>
  </si>
  <si>
    <t>Primary bucket</t>
  </si>
  <si>
    <t>Has next appointment</t>
  </si>
  <si>
    <t>Days since last visit</t>
  </si>
  <si>
    <t>RP-1001</t>
  </si>
  <si>
    <t>P-2001</t>
  </si>
  <si>
    <t>90+</t>
  </si>
  <si>
    <t>No</t>
  </si>
  <si>
    <t>RP-1002</t>
  </si>
  <si>
    <t>P-2002</t>
  </si>
  <si>
    <t>Yes</t>
  </si>
  <si>
    <t>RP-1003</t>
  </si>
  <si>
    <t>P-2003</t>
  </si>
  <si>
    <t>P-2004</t>
  </si>
  <si>
    <t>P-2005</t>
  </si>
  <si>
    <t>RP-1004</t>
  </si>
  <si>
    <t>P-2006</t>
  </si>
  <si>
    <t>RP-1005</t>
  </si>
  <si>
    <t>P-2007</t>
  </si>
  <si>
    <t>RP-1006</t>
  </si>
  <si>
    <t>P-2008</t>
  </si>
  <si>
    <t>P-2009</t>
  </si>
  <si>
    <t>RP-1007</t>
  </si>
  <si>
    <t>P-2010</t>
  </si>
  <si>
    <t>P-2011</t>
  </si>
  <si>
    <t>RP-1008</t>
  </si>
  <si>
    <t>P-2012</t>
  </si>
  <si>
    <t>RP-1009</t>
  </si>
  <si>
    <t>P-2013</t>
  </si>
  <si>
    <t>P-2014</t>
  </si>
  <si>
    <t>P-2015</t>
  </si>
  <si>
    <t>RP-1010</t>
  </si>
  <si>
    <t>P-2016</t>
  </si>
  <si>
    <t>P-2017</t>
  </si>
  <si>
    <t>RP-1011</t>
  </si>
  <si>
    <t>P-2018</t>
  </si>
  <si>
    <t>RP-1012</t>
  </si>
  <si>
    <t>P-2019</t>
  </si>
  <si>
    <t>P-2020</t>
  </si>
  <si>
    <t>P-2021</t>
  </si>
  <si>
    <t>RP-1013</t>
  </si>
  <si>
    <t>P-2022</t>
  </si>
  <si>
    <t>RP-1014</t>
  </si>
  <si>
    <t>P-2023</t>
  </si>
  <si>
    <t>RP-1015</t>
  </si>
  <si>
    <t>P-2024</t>
  </si>
  <si>
    <t>P-2025</t>
  </si>
  <si>
    <t>RP-1016</t>
  </si>
  <si>
    <t>P-2026</t>
  </si>
  <si>
    <t>RP-1017</t>
  </si>
  <si>
    <t>P-2027</t>
  </si>
  <si>
    <t>P-2028</t>
  </si>
  <si>
    <t>P-2029</t>
  </si>
  <si>
    <t>RP-1018</t>
  </si>
  <si>
    <t>P-2030</t>
  </si>
  <si>
    <t>P-2031</t>
  </si>
  <si>
    <t>RP-1019</t>
  </si>
  <si>
    <t>P-2032</t>
  </si>
  <si>
    <t>RP-1020</t>
  </si>
  <si>
    <t>P-2033</t>
  </si>
  <si>
    <t>P-2034</t>
  </si>
  <si>
    <t>RP-1021</t>
  </si>
  <si>
    <t>P-2035</t>
  </si>
  <si>
    <t>RP-1022</t>
  </si>
  <si>
    <t>P-2036</t>
  </si>
  <si>
    <t>RP-1023</t>
  </si>
  <si>
    <t>P-2037</t>
  </si>
  <si>
    <t>P-2038</t>
  </si>
  <si>
    <t>RP-1024</t>
  </si>
  <si>
    <t>P-2039</t>
  </si>
  <si>
    <t>RP-1025</t>
  </si>
  <si>
    <t>P-2040</t>
  </si>
  <si>
    <t>RP-1026</t>
  </si>
  <si>
    <t>P-2041</t>
  </si>
  <si>
    <t>RP-1027</t>
  </si>
  <si>
    <t>P-2042</t>
  </si>
  <si>
    <t>P-2043</t>
  </si>
  <si>
    <t>P-2044</t>
  </si>
  <si>
    <t>RP-1028</t>
  </si>
  <si>
    <t>P-2045</t>
  </si>
  <si>
    <t>RP-1029</t>
  </si>
  <si>
    <t>P-2046</t>
  </si>
  <si>
    <t>P-2047</t>
  </si>
  <si>
    <t>RP-1030</t>
  </si>
  <si>
    <t>P-2048</t>
  </si>
  <si>
    <t>P-2049</t>
  </si>
  <si>
    <t>RP-1031</t>
  </si>
  <si>
    <t>P-2050</t>
  </si>
  <si>
    <t>RP-1032</t>
  </si>
  <si>
    <t>P-2051</t>
  </si>
  <si>
    <t>RP-1033</t>
  </si>
  <si>
    <t>P-2052</t>
  </si>
  <si>
    <t>P-2053</t>
  </si>
  <si>
    <t>RP-1034</t>
  </si>
  <si>
    <t>P-2054</t>
  </si>
  <si>
    <t>RP-1035</t>
  </si>
  <si>
    <t>P-2055</t>
  </si>
  <si>
    <t>P-2056</t>
  </si>
  <si>
    <t>RP-1036</t>
  </si>
  <si>
    <t>P-2057</t>
  </si>
  <si>
    <t>P-2058</t>
  </si>
  <si>
    <t>RP-1037</t>
  </si>
  <si>
    <t>P-2059</t>
  </si>
  <si>
    <t>RP-1038</t>
  </si>
  <si>
    <t>P-2060</t>
  </si>
  <si>
    <t>RP-1039</t>
  </si>
  <si>
    <t>P-2061</t>
  </si>
  <si>
    <t>RP-1040</t>
  </si>
  <si>
    <t>P-2062</t>
  </si>
  <si>
    <t>P-2063</t>
  </si>
  <si>
    <t>RP-1041</t>
  </si>
  <si>
    <t>P-2064</t>
  </si>
  <si>
    <t>RP-1042</t>
  </si>
  <si>
    <t>P-2065</t>
  </si>
  <si>
    <t>RP-1043</t>
  </si>
  <si>
    <t>P-2066</t>
  </si>
  <si>
    <t>RP-1044</t>
  </si>
  <si>
    <t>P-2067</t>
  </si>
  <si>
    <t>RP-1045</t>
  </si>
  <si>
    <t>P-2068</t>
  </si>
  <si>
    <t>RP-1046</t>
  </si>
  <si>
    <t>P-2069</t>
  </si>
  <si>
    <t>RP-1047</t>
  </si>
  <si>
    <t>P-2070</t>
  </si>
  <si>
    <t>RP-1048</t>
  </si>
  <si>
    <t>P-2071</t>
  </si>
  <si>
    <t>P-2072</t>
  </si>
  <si>
    <t>RP-1049</t>
  </si>
  <si>
    <t>P-2073</t>
  </si>
  <si>
    <t>RP-1050</t>
  </si>
  <si>
    <t>P-2074</t>
  </si>
  <si>
    <t>P-2075</t>
  </si>
  <si>
    <t>P-2076</t>
  </si>
  <si>
    <t>RP-1051</t>
  </si>
  <si>
    <t>P-2077</t>
  </si>
  <si>
    <t>RP-1052</t>
  </si>
  <si>
    <t>P-2078</t>
  </si>
  <si>
    <t>RP-1053</t>
  </si>
  <si>
    <t>P-2079</t>
  </si>
  <si>
    <t>RP-1054</t>
  </si>
  <si>
    <t>P-2080</t>
  </si>
  <si>
    <t>RP-1055</t>
  </si>
  <si>
    <t>P-2081</t>
  </si>
  <si>
    <t>P-2082</t>
  </si>
  <si>
    <t>P-2083</t>
  </si>
  <si>
    <t>RP-1056</t>
  </si>
  <si>
    <t>P-2084</t>
  </si>
  <si>
    <t>RP-1057</t>
  </si>
  <si>
    <t>P-2085</t>
  </si>
  <si>
    <t>P-2086</t>
  </si>
  <si>
    <t>RP-1058</t>
  </si>
  <si>
    <t>P-2087</t>
  </si>
  <si>
    <t>P-2088</t>
  </si>
  <si>
    <t>P-2089</t>
  </si>
  <si>
    <t>RP-1059</t>
  </si>
  <si>
    <t>P-2090</t>
  </si>
  <si>
    <t>Headline</t>
  </si>
  <si>
    <t>Accounts</t>
  </si>
  <si>
    <t>Patient owing</t>
  </si>
  <si>
    <t>Insurance owing</t>
  </si>
  <si>
    <t>Patient share of open</t>
  </si>
  <si>
    <t>90+ share of patient $</t>
  </si>
  <si>
    <t>90+ accounts (patient $ &gt; 0)</t>
  </si>
  <si>
    <t>90+ with no next appointment</t>
  </si>
  <si>
    <t>Unique responsible parties</t>
  </si>
  <si>
    <t>Aging mix — dollars</t>
  </si>
  <si>
    <t>Bucket</t>
  </si>
  <si>
    <t>Patient $</t>
  </si>
  <si>
    <t>Insurance $</t>
  </si>
  <si>
    <t>Total $</t>
  </si>
  <si>
    <t>Share</t>
  </si>
  <si>
    <t>0–30</t>
  </si>
  <si>
    <t>31–60</t>
  </si>
  <si>
    <t>61–90</t>
  </si>
  <si>
    <t>Total</t>
  </si>
  <si>
    <t>Follow-up flags</t>
  </si>
  <si>
    <t>Patient 90+ and no next appointment (work first)</t>
  </si>
  <si>
    <t>Open $ on those accounts</t>
  </si>
  <si>
    <t>Live SUMIFS off Ledger. Change a dollar on Ledger and this sheet moves.</t>
  </si>
  <si>
    <t>Filter this table in Excel (Data → Filter) or insert a PivotTable from ARLedger.</t>
  </si>
  <si>
    <t>Status</t>
  </si>
  <si>
    <t>Patients</t>
  </si>
  <si>
    <t>Open $</t>
  </si>
  <si>
    <t>Scheduled</t>
  </si>
  <si>
    <t>Not scheduled</t>
  </si>
  <si>
    <t>A/R tracker — 90+ Outstanding Extract (annonymous)</t>
  </si>
  <si>
    <t>This sample is 90+ only: one row per patient account on a 9-23-2026 90+ outstanding extract, not one row per open charge, and not the full open A/R board. Do not compare this file's mix to the case-study story (31.4% to 18.7% of all open A/R). Placeholder IDs only (RP-100x / P-20xx), not PMS IDs. No real names. Most recent visit and next appointment are demo fields; next appointment uses TODAY()+n so dates stay after today. Some responsible parties cover 2-3 patients.</t>
  </si>
  <si>
    <t xml:space="preserve">Rows (PT Accounts) </t>
  </si>
  <si>
    <t>Most Recent Visit</t>
  </si>
  <si>
    <t>Next Appointment</t>
  </si>
  <si>
    <t>Total Owing</t>
  </si>
  <si>
    <t>PT Total Owing</t>
  </si>
  <si>
    <t>Insurance Total Owing</t>
  </si>
  <si>
    <t>Pivot — Aging Bucket × PT vs Insurance</t>
  </si>
  <si>
    <t>Pivot — Responsible Party (open $ ≥ $200)</t>
  </si>
  <si>
    <t>No Next Appointment</t>
  </si>
  <si>
    <t>Calculation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</si>
</sst>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&quot;$&quot;#,##0.00"/>
    <numFmt numFmtId="166" formatCode="0.0%"/>
  </numFmts>
  <fonts count="7" x14ac:knownFonts="1">
    <font>
      <sz val="11"/>
      <color theme="1"/>
      <name val="Calibri"/>
      <family val="2"/>
      <scheme val="minor"/>
    </font>
    <font>
      <b/>
      <sz val="18"/>
      <color rgb="FF1B365D"/>
      <name val="Calibri"/>
      <family val="2"/>
    </font>
    <font>
      <b/>
      <sz val="11"/>
      <color rgb="FF1B365D"/>
      <name val="Calibri"/>
      <family val="2"/>
    </font>
    <font>
      <b/>
      <sz val="11"/>
      <color rgb="FFF4EFE4"/>
      <name val="Calibri"/>
      <family val="2"/>
    </font>
    <font>
      <b/>
      <sz val="16"/>
      <color rgb="FF1B365D"/>
      <name val="Calibri"/>
      <family val="2"/>
    </font>
    <font>
      <b/>
      <sz val="11"/>
      <name val="Calibri"/>
      <family val="2"/>
    </font>
    <font>
      <b/>
      <sz val="13"/>
      <color rgb="FF1B365D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B365D"/>
      </patternFill>
    </fill>
  </fills>
  <borders count="2">
    <border>
      <left/>
      <right/>
      <top/>
      <bottom/>
      <diagonal/>
    </border>
    <border>
      <left style="thin">
        <color rgb="FFD9D4C8"/>
      </left>
      <right style="thin">
        <color rgb="FFD9D4C8"/>
      </right>
      <top style="thin">
        <color rgb="FFD9D4C8"/>
      </top>
      <bottom style="thin">
        <color rgb="FFD9D4C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" fontId="0" fillId="0" borderId="1" xfId="0" applyNumberFormat="1" applyBorder="1"/>
    <xf numFmtId="0" fontId="4" fillId="0" borderId="0" xfId="0" applyFont="1"/>
    <xf numFmtId="0" fontId="6" fillId="0" borderId="0" xfId="0" applyFont="1"/>
    <xf numFmtId="0" fontId="5" fillId="0" borderId="0" xfId="0" applyFon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165" fontId="5" fillId="0" borderId="0" xfId="0" applyNumberFormat="1" applyFont="1"/>
    <xf numFmtId="166" fontId="5" fillId="0" borderId="0" xfId="0" applyNumberFormat="1" applyFont="1"/>
    <xf numFmtId="0" fontId="1" fillId="0" borderId="0" xfId="0" applyFont="1"/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1">
    <dxf>
      <fill>
        <patternFill patternType="solid">
          <fgColor rgb="FFF8D0D4"/>
        </patternFill>
      </fill>
    </dxf>
  </dxfs>
  <tableStyles count="0" defaultTableStyle="TableStyleMedium9" defaultPivotStyle="PivotStyleLight16"/>
  <colors>
    <mruColors>
      <color rgb="FF1A355D"/>
      <color rgb="FF99E3EB"/>
      <color rgb="FF1AD0FF"/>
      <color rgb="FF00FF7A"/>
      <color rgb="FFFFA9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Patients Scheduled vs Not Scheduled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61812518838541"/>
          <c:y val="9.6687978105300942E-2"/>
          <c:w val="0.72763749623229179"/>
          <c:h val="0.81232204948740383"/>
        </c:manualLayout>
      </c:layout>
      <c:pieChart>
        <c:varyColors val="1"/>
        <c:ser>
          <c:idx val="0"/>
          <c:order val="0"/>
          <c:tx>
            <c:strRef>
              <c:f>'Aging pivot'!$B$31</c:f>
              <c:strCache>
                <c:ptCount val="1"/>
                <c:pt idx="0">
                  <c:v>Patients</c:v>
                </c:pt>
              </c:strCache>
            </c:strRef>
          </c:tx>
          <c:spPr>
            <a:solidFill>
              <a:srgbClr val="00FF7A"/>
            </a:solidFill>
          </c:spPr>
          <c:explosion val="15"/>
          <c:dPt>
            <c:idx val="0"/>
            <c:bubble3D val="0"/>
            <c:explosion val="0"/>
            <c:spPr>
              <a:solidFill>
                <a:srgbClr val="00FF7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D67-0F4C-BA70-13056BC3BB61}"/>
              </c:ext>
            </c:extLst>
          </c:dPt>
          <c:dPt>
            <c:idx val="1"/>
            <c:bubble3D val="0"/>
            <c:explosion val="0"/>
            <c:spPr>
              <a:solidFill>
                <a:srgbClr val="1AD0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67-0F4C-BA70-13056BC3BB61}"/>
              </c:ext>
            </c:extLst>
          </c:dPt>
          <c:dLbls>
            <c:dLbl>
              <c:idx val="0"/>
              <c:layout>
                <c:manualLayout>
                  <c:x val="-0.25141617063492061"/>
                  <c:y val="6.8521666666666661E-2"/>
                </c:manualLayout>
              </c:layout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67-0F4C-BA70-13056BC3BB61}"/>
                </c:ext>
              </c:extLst>
            </c:dLbl>
            <c:dLbl>
              <c:idx val="1"/>
              <c:layout>
                <c:manualLayout>
                  <c:x val="0.22319315476190477"/>
                  <c:y val="-0.31934444444444443"/>
                </c:manualLayout>
              </c:layout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67-0F4C-BA70-13056BC3BB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1"/>
            <c:showVal val="1"/>
            <c:showCatName val="1"/>
            <c:showSerName val="1"/>
            <c:showPercent val="1"/>
            <c:showBubbleSize val="1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'Aging pivot'!$A$32:$A$33</c:f>
              <c:strCache>
                <c:ptCount val="2"/>
                <c:pt idx="0">
                  <c:v>Scheduled</c:v>
                </c:pt>
                <c:pt idx="1">
                  <c:v>Not scheduled</c:v>
                </c:pt>
              </c:strCache>
            </c:strRef>
          </c:cat>
          <c:val>
            <c:numRef>
              <c:f>'Aging pivot'!$B$32:$B$33</c:f>
              <c:numCache>
                <c:formatCode>General</c:formatCode>
                <c:ptCount val="2"/>
                <c:pt idx="0">
                  <c:v>39</c:v>
                </c:pt>
                <c:pt idx="1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67-0F4C-BA70-13056BC3BB61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139700</xdr:colOff>
      <xdr:row>4</xdr:row>
      <xdr:rowOff>165100</xdr:rowOff>
    </xdr:from>
    <xdr:ext cx="4976500" cy="44577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A355D"/>
  </sheetPr>
  <dimension ref="A1:R111"/>
  <sheetViews>
    <sheetView workbookViewId="0">
      <pane ySplit="1" topLeftCell="A2" activePane="bottomLeft" state="frozen"/>
      <selection pane="bottomLeft" activeCell="F38" sqref="F38"/>
    </sheetView>
  </sheetViews>
  <sheetFormatPr baseColWidth="10" defaultColWidth="8.83203125" defaultRowHeight="15" x14ac:dyDescent="0.2"/>
  <cols>
    <col min="1" max="1" width="32" customWidth="1"/>
    <col min="2" max="2" width="14" customWidth="1"/>
    <col min="3" max="4" width="18" customWidth="1"/>
    <col min="5" max="5" width="14" customWidth="1"/>
    <col min="6" max="6" width="20" customWidth="1"/>
    <col min="7" max="7" width="22" customWidth="1"/>
    <col min="8" max="8" width="14" customWidth="1"/>
    <col min="9" max="10" width="16" customWidth="1"/>
    <col min="11" max="11" width="18" customWidth="1"/>
    <col min="12" max="14" width="16" customWidth="1"/>
    <col min="15" max="15" width="20" customWidth="1"/>
    <col min="16" max="16" width="16" customWidth="1"/>
    <col min="17" max="17" width="22" customWidth="1"/>
    <col min="18" max="18" width="20" customWidth="1"/>
  </cols>
  <sheetData>
    <row r="1" spans="1:18" ht="32" customHeight="1" x14ac:dyDescent="0.2">
      <c r="A1" s="4" t="s">
        <v>5</v>
      </c>
      <c r="B1" s="4" t="s">
        <v>6</v>
      </c>
      <c r="C1" s="4" t="s">
        <v>203</v>
      </c>
      <c r="D1" s="4" t="s">
        <v>204</v>
      </c>
      <c r="E1" s="4" t="s">
        <v>205</v>
      </c>
      <c r="F1" s="4" t="s">
        <v>206</v>
      </c>
      <c r="G1" s="4" t="s">
        <v>207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</row>
    <row r="2" spans="1:18" x14ac:dyDescent="0.2">
      <c r="A2" s="5" t="s">
        <v>19</v>
      </c>
      <c r="B2" s="5" t="s">
        <v>20</v>
      </c>
      <c r="C2" s="6">
        <v>46101</v>
      </c>
      <c r="D2" s="6"/>
      <c r="E2" s="7">
        <v>6.4</v>
      </c>
      <c r="F2" s="7">
        <v>6.4</v>
      </c>
      <c r="G2" s="7">
        <v>0</v>
      </c>
      <c r="H2" s="7">
        <v>0</v>
      </c>
      <c r="I2" s="7">
        <v>0</v>
      </c>
      <c r="J2" s="7">
        <v>0</v>
      </c>
      <c r="K2" s="7">
        <v>6.4</v>
      </c>
      <c r="L2" s="7">
        <v>0</v>
      </c>
      <c r="M2" s="7">
        <v>0</v>
      </c>
      <c r="N2" s="7">
        <v>0</v>
      </c>
      <c r="O2" s="7">
        <v>0</v>
      </c>
      <c r="P2" s="5" t="s">
        <v>21</v>
      </c>
      <c r="Q2" s="5" t="s">
        <v>22</v>
      </c>
      <c r="R2" s="8">
        <f t="shared" ref="R2:R33" si="0">DATE(2026,9,23)-C2</f>
        <v>187</v>
      </c>
    </row>
    <row r="3" spans="1:18" x14ac:dyDescent="0.2">
      <c r="A3" s="5" t="s">
        <v>23</v>
      </c>
      <c r="B3" s="5" t="s">
        <v>24</v>
      </c>
      <c r="C3" s="6">
        <v>45941</v>
      </c>
      <c r="D3" s="6">
        <f ca="1">TODAY()+54</f>
        <v>46369</v>
      </c>
      <c r="E3" s="7">
        <v>53.4</v>
      </c>
      <c r="F3" s="7">
        <v>53.4</v>
      </c>
      <c r="G3" s="7">
        <v>0</v>
      </c>
      <c r="H3" s="7">
        <v>0</v>
      </c>
      <c r="I3" s="7">
        <v>0</v>
      </c>
      <c r="J3" s="7">
        <v>0</v>
      </c>
      <c r="K3" s="7">
        <v>53.4</v>
      </c>
      <c r="L3" s="7">
        <v>0</v>
      </c>
      <c r="M3" s="7">
        <v>0</v>
      </c>
      <c r="N3" s="7">
        <v>0</v>
      </c>
      <c r="O3" s="7">
        <v>0</v>
      </c>
      <c r="P3" s="5" t="s">
        <v>21</v>
      </c>
      <c r="Q3" s="5" t="s">
        <v>25</v>
      </c>
      <c r="R3" s="8">
        <f t="shared" si="0"/>
        <v>347</v>
      </c>
    </row>
    <row r="4" spans="1:18" x14ac:dyDescent="0.2">
      <c r="A4" s="5" t="s">
        <v>26</v>
      </c>
      <c r="B4" s="5" t="s">
        <v>27</v>
      </c>
      <c r="C4" s="6">
        <v>46131</v>
      </c>
      <c r="D4" s="6"/>
      <c r="E4" s="7">
        <v>36</v>
      </c>
      <c r="F4" s="7">
        <v>36</v>
      </c>
      <c r="G4" s="7">
        <v>0</v>
      </c>
      <c r="H4" s="7">
        <v>0</v>
      </c>
      <c r="I4" s="7">
        <v>0</v>
      </c>
      <c r="J4" s="7">
        <v>0</v>
      </c>
      <c r="K4" s="7">
        <v>36</v>
      </c>
      <c r="L4" s="7">
        <v>0</v>
      </c>
      <c r="M4" s="7">
        <v>0</v>
      </c>
      <c r="N4" s="7">
        <v>0</v>
      </c>
      <c r="O4" s="7">
        <v>0</v>
      </c>
      <c r="P4" s="5" t="s">
        <v>21</v>
      </c>
      <c r="Q4" s="5" t="s">
        <v>22</v>
      </c>
      <c r="R4" s="8">
        <f t="shared" si="0"/>
        <v>157</v>
      </c>
    </row>
    <row r="5" spans="1:18" x14ac:dyDescent="0.2">
      <c r="A5" s="5" t="s">
        <v>26</v>
      </c>
      <c r="B5" s="5" t="s">
        <v>28</v>
      </c>
      <c r="C5" s="6">
        <v>46020</v>
      </c>
      <c r="D5" s="6"/>
      <c r="E5" s="7">
        <v>18.3</v>
      </c>
      <c r="F5" s="7">
        <v>18.3</v>
      </c>
      <c r="G5" s="7">
        <v>0</v>
      </c>
      <c r="H5" s="7">
        <v>0</v>
      </c>
      <c r="I5" s="7">
        <v>0</v>
      </c>
      <c r="J5" s="7">
        <v>0</v>
      </c>
      <c r="K5" s="7">
        <v>18.3</v>
      </c>
      <c r="L5" s="7">
        <v>0</v>
      </c>
      <c r="M5" s="7">
        <v>0</v>
      </c>
      <c r="N5" s="7">
        <v>0</v>
      </c>
      <c r="O5" s="7">
        <v>0</v>
      </c>
      <c r="P5" s="5" t="s">
        <v>21</v>
      </c>
      <c r="Q5" s="5" t="s">
        <v>22</v>
      </c>
      <c r="R5" s="8">
        <f t="shared" si="0"/>
        <v>268</v>
      </c>
    </row>
    <row r="6" spans="1:18" x14ac:dyDescent="0.2">
      <c r="A6" s="5" t="s">
        <v>26</v>
      </c>
      <c r="B6" s="5" t="s">
        <v>29</v>
      </c>
      <c r="C6" s="6">
        <v>45890</v>
      </c>
      <c r="D6" s="6"/>
      <c r="E6" s="7">
        <v>95</v>
      </c>
      <c r="F6" s="7">
        <v>95</v>
      </c>
      <c r="G6" s="7">
        <v>0</v>
      </c>
      <c r="H6" s="7">
        <v>0</v>
      </c>
      <c r="I6" s="7">
        <v>0</v>
      </c>
      <c r="J6" s="7">
        <v>0</v>
      </c>
      <c r="K6" s="7">
        <v>95</v>
      </c>
      <c r="L6" s="7">
        <v>0</v>
      </c>
      <c r="M6" s="7">
        <v>0</v>
      </c>
      <c r="N6" s="7">
        <v>0</v>
      </c>
      <c r="O6" s="7">
        <v>0</v>
      </c>
      <c r="P6" s="5" t="s">
        <v>21</v>
      </c>
      <c r="Q6" s="5" t="s">
        <v>22</v>
      </c>
      <c r="R6" s="8">
        <f t="shared" si="0"/>
        <v>398</v>
      </c>
    </row>
    <row r="7" spans="1:18" x14ac:dyDescent="0.2">
      <c r="A7" s="5" t="s">
        <v>30</v>
      </c>
      <c r="B7" s="5" t="s">
        <v>31</v>
      </c>
      <c r="C7" s="6">
        <v>45937</v>
      </c>
      <c r="D7" s="6"/>
      <c r="E7" s="7">
        <v>30</v>
      </c>
      <c r="F7" s="7">
        <v>30</v>
      </c>
      <c r="G7" s="7">
        <v>0</v>
      </c>
      <c r="H7" s="7">
        <v>0</v>
      </c>
      <c r="I7" s="7">
        <v>0</v>
      </c>
      <c r="J7" s="7">
        <v>0</v>
      </c>
      <c r="K7" s="7">
        <v>30</v>
      </c>
      <c r="L7" s="7">
        <v>0</v>
      </c>
      <c r="M7" s="7">
        <v>0</v>
      </c>
      <c r="N7" s="7">
        <v>0</v>
      </c>
      <c r="O7" s="7">
        <v>0</v>
      </c>
      <c r="P7" s="5" t="s">
        <v>21</v>
      </c>
      <c r="Q7" s="5" t="s">
        <v>22</v>
      </c>
      <c r="R7" s="8">
        <f t="shared" si="0"/>
        <v>351</v>
      </c>
    </row>
    <row r="8" spans="1:18" x14ac:dyDescent="0.2">
      <c r="A8" s="5" t="s">
        <v>32</v>
      </c>
      <c r="B8" s="5" t="s">
        <v>33</v>
      </c>
      <c r="C8" s="6">
        <v>45961</v>
      </c>
      <c r="D8" s="6">
        <f ca="1">TODAY()+29</f>
        <v>46344</v>
      </c>
      <c r="E8" s="7">
        <v>95</v>
      </c>
      <c r="F8" s="7">
        <v>95</v>
      </c>
      <c r="G8" s="7">
        <v>0</v>
      </c>
      <c r="H8" s="7">
        <v>0</v>
      </c>
      <c r="I8" s="7">
        <v>0</v>
      </c>
      <c r="J8" s="7">
        <v>0</v>
      </c>
      <c r="K8" s="7">
        <v>95</v>
      </c>
      <c r="L8" s="7">
        <v>0</v>
      </c>
      <c r="M8" s="7">
        <v>0</v>
      </c>
      <c r="N8" s="7">
        <v>0</v>
      </c>
      <c r="O8" s="7">
        <v>0</v>
      </c>
      <c r="P8" s="5" t="s">
        <v>21</v>
      </c>
      <c r="Q8" s="5" t="s">
        <v>25</v>
      </c>
      <c r="R8" s="8">
        <f t="shared" si="0"/>
        <v>327</v>
      </c>
    </row>
    <row r="9" spans="1:18" x14ac:dyDescent="0.2">
      <c r="A9" s="5" t="s">
        <v>34</v>
      </c>
      <c r="B9" s="5" t="s">
        <v>35</v>
      </c>
      <c r="C9" s="6">
        <v>46021</v>
      </c>
      <c r="D9" s="6"/>
      <c r="E9" s="7">
        <v>42.5</v>
      </c>
      <c r="F9" s="7">
        <v>42.5</v>
      </c>
      <c r="G9" s="7">
        <v>0</v>
      </c>
      <c r="H9" s="7">
        <v>0</v>
      </c>
      <c r="I9" s="7">
        <v>0</v>
      </c>
      <c r="J9" s="7">
        <v>0</v>
      </c>
      <c r="K9" s="7">
        <v>42.5</v>
      </c>
      <c r="L9" s="7">
        <v>0</v>
      </c>
      <c r="M9" s="7">
        <v>0</v>
      </c>
      <c r="N9" s="7">
        <v>0</v>
      </c>
      <c r="O9" s="7">
        <v>0</v>
      </c>
      <c r="P9" s="5" t="s">
        <v>21</v>
      </c>
      <c r="Q9" s="5" t="s">
        <v>22</v>
      </c>
      <c r="R9" s="8">
        <f t="shared" si="0"/>
        <v>267</v>
      </c>
    </row>
    <row r="10" spans="1:18" x14ac:dyDescent="0.2">
      <c r="A10" s="5" t="s">
        <v>34</v>
      </c>
      <c r="B10" s="5" t="s">
        <v>36</v>
      </c>
      <c r="C10" s="6">
        <v>45978</v>
      </c>
      <c r="D10" s="6"/>
      <c r="E10" s="7">
        <v>11</v>
      </c>
      <c r="F10" s="7">
        <v>11</v>
      </c>
      <c r="G10" s="7">
        <v>0</v>
      </c>
      <c r="H10" s="7">
        <v>0</v>
      </c>
      <c r="I10" s="7">
        <v>0</v>
      </c>
      <c r="J10" s="7">
        <v>0</v>
      </c>
      <c r="K10" s="7">
        <v>11</v>
      </c>
      <c r="L10" s="7">
        <v>0</v>
      </c>
      <c r="M10" s="7">
        <v>0</v>
      </c>
      <c r="N10" s="7">
        <v>0</v>
      </c>
      <c r="O10" s="7">
        <v>0</v>
      </c>
      <c r="P10" s="5" t="s">
        <v>21</v>
      </c>
      <c r="Q10" s="5" t="s">
        <v>22</v>
      </c>
      <c r="R10" s="8">
        <f t="shared" si="0"/>
        <v>310</v>
      </c>
    </row>
    <row r="11" spans="1:18" x14ac:dyDescent="0.2">
      <c r="A11" s="5" t="s">
        <v>37</v>
      </c>
      <c r="B11" s="5" t="s">
        <v>38</v>
      </c>
      <c r="C11" s="6">
        <v>46097</v>
      </c>
      <c r="D11" s="6"/>
      <c r="E11" s="7">
        <v>303</v>
      </c>
      <c r="F11" s="7">
        <v>303</v>
      </c>
      <c r="G11" s="7">
        <v>0</v>
      </c>
      <c r="H11" s="7">
        <v>0</v>
      </c>
      <c r="I11" s="7">
        <v>0</v>
      </c>
      <c r="J11" s="7">
        <v>0</v>
      </c>
      <c r="K11" s="7">
        <v>303</v>
      </c>
      <c r="L11" s="7">
        <v>0</v>
      </c>
      <c r="M11" s="7">
        <v>0</v>
      </c>
      <c r="N11" s="7">
        <v>0</v>
      </c>
      <c r="O11" s="7">
        <v>0</v>
      </c>
      <c r="P11" s="5" t="s">
        <v>21</v>
      </c>
      <c r="Q11" s="5" t="s">
        <v>22</v>
      </c>
      <c r="R11" s="8">
        <f t="shared" si="0"/>
        <v>191</v>
      </c>
    </row>
    <row r="12" spans="1:18" x14ac:dyDescent="0.2">
      <c r="A12" s="5" t="s">
        <v>30</v>
      </c>
      <c r="B12" s="5" t="s">
        <v>31</v>
      </c>
      <c r="C12" s="6">
        <v>45937</v>
      </c>
      <c r="D12" s="6"/>
      <c r="E12" s="7">
        <v>24</v>
      </c>
      <c r="F12" s="7">
        <v>24</v>
      </c>
      <c r="G12" s="7">
        <v>0</v>
      </c>
      <c r="H12" s="7">
        <v>0</v>
      </c>
      <c r="I12" s="7">
        <v>0</v>
      </c>
      <c r="J12" s="7">
        <v>0</v>
      </c>
      <c r="K12" s="7">
        <v>24</v>
      </c>
      <c r="L12" s="7">
        <v>0</v>
      </c>
      <c r="M12" s="7">
        <v>0</v>
      </c>
      <c r="N12" s="7">
        <v>0</v>
      </c>
      <c r="O12" s="7">
        <v>0</v>
      </c>
      <c r="P12" s="5" t="s">
        <v>21</v>
      </c>
      <c r="Q12" s="5" t="s">
        <v>22</v>
      </c>
      <c r="R12" s="8">
        <f t="shared" si="0"/>
        <v>351</v>
      </c>
    </row>
    <row r="13" spans="1:18" x14ac:dyDescent="0.2">
      <c r="A13" s="5" t="s">
        <v>37</v>
      </c>
      <c r="B13" s="5" t="s">
        <v>39</v>
      </c>
      <c r="C13" s="6">
        <v>46122</v>
      </c>
      <c r="D13" s="6"/>
      <c r="E13" s="7">
        <v>137.5</v>
      </c>
      <c r="F13" s="7">
        <v>137.5</v>
      </c>
      <c r="G13" s="7">
        <v>0</v>
      </c>
      <c r="H13" s="7">
        <v>0</v>
      </c>
      <c r="I13" s="7">
        <v>0</v>
      </c>
      <c r="J13" s="7">
        <v>0</v>
      </c>
      <c r="K13" s="7">
        <v>137.5</v>
      </c>
      <c r="L13" s="7">
        <v>0</v>
      </c>
      <c r="M13" s="7">
        <v>0</v>
      </c>
      <c r="N13" s="7">
        <v>0</v>
      </c>
      <c r="O13" s="7">
        <v>0</v>
      </c>
      <c r="P13" s="5" t="s">
        <v>21</v>
      </c>
      <c r="Q13" s="5" t="s">
        <v>22</v>
      </c>
      <c r="R13" s="8">
        <f t="shared" si="0"/>
        <v>166</v>
      </c>
    </row>
    <row r="14" spans="1:18" x14ac:dyDescent="0.2">
      <c r="A14" s="5" t="s">
        <v>40</v>
      </c>
      <c r="B14" s="5" t="s">
        <v>41</v>
      </c>
      <c r="C14" s="6">
        <v>45917</v>
      </c>
      <c r="D14" s="6"/>
      <c r="E14" s="7">
        <v>40</v>
      </c>
      <c r="F14" s="7">
        <v>40</v>
      </c>
      <c r="G14" s="7">
        <v>0</v>
      </c>
      <c r="H14" s="7">
        <v>0</v>
      </c>
      <c r="I14" s="7">
        <v>0</v>
      </c>
      <c r="J14" s="7">
        <v>0</v>
      </c>
      <c r="K14" s="7">
        <v>40</v>
      </c>
      <c r="L14" s="7">
        <v>0</v>
      </c>
      <c r="M14" s="7">
        <v>0</v>
      </c>
      <c r="N14" s="7">
        <v>0</v>
      </c>
      <c r="O14" s="7">
        <v>0</v>
      </c>
      <c r="P14" s="5" t="s">
        <v>21</v>
      </c>
      <c r="Q14" s="5" t="s">
        <v>22</v>
      </c>
      <c r="R14" s="8">
        <f t="shared" si="0"/>
        <v>371</v>
      </c>
    </row>
    <row r="15" spans="1:18" x14ac:dyDescent="0.2">
      <c r="A15" s="5" t="s">
        <v>26</v>
      </c>
      <c r="B15" s="5" t="s">
        <v>27</v>
      </c>
      <c r="C15" s="6">
        <v>46131</v>
      </c>
      <c r="D15" s="6"/>
      <c r="E15" s="7">
        <v>15</v>
      </c>
      <c r="F15" s="7">
        <v>15</v>
      </c>
      <c r="G15" s="7">
        <v>0</v>
      </c>
      <c r="H15" s="7">
        <v>0</v>
      </c>
      <c r="I15" s="7">
        <v>0</v>
      </c>
      <c r="J15" s="7">
        <v>0</v>
      </c>
      <c r="K15" s="7">
        <v>15</v>
      </c>
      <c r="L15" s="7">
        <v>0</v>
      </c>
      <c r="M15" s="7">
        <v>0</v>
      </c>
      <c r="N15" s="7">
        <v>0</v>
      </c>
      <c r="O15" s="7">
        <v>0</v>
      </c>
      <c r="P15" s="5" t="s">
        <v>21</v>
      </c>
      <c r="Q15" s="5" t="s">
        <v>22</v>
      </c>
      <c r="R15" s="8">
        <f t="shared" si="0"/>
        <v>157</v>
      </c>
    </row>
    <row r="16" spans="1:18" x14ac:dyDescent="0.2">
      <c r="A16" s="5" t="s">
        <v>42</v>
      </c>
      <c r="B16" s="5" t="s">
        <v>43</v>
      </c>
      <c r="C16" s="6">
        <v>46152</v>
      </c>
      <c r="D16" s="6"/>
      <c r="E16" s="7">
        <v>39.6</v>
      </c>
      <c r="F16" s="7">
        <v>39.6</v>
      </c>
      <c r="G16" s="7">
        <v>0</v>
      </c>
      <c r="H16" s="7">
        <v>0</v>
      </c>
      <c r="I16" s="7">
        <v>0</v>
      </c>
      <c r="J16" s="7">
        <v>0</v>
      </c>
      <c r="K16" s="7">
        <v>39.6</v>
      </c>
      <c r="L16" s="7">
        <v>0</v>
      </c>
      <c r="M16" s="7">
        <v>0</v>
      </c>
      <c r="N16" s="7">
        <v>0</v>
      </c>
      <c r="O16" s="7">
        <v>0</v>
      </c>
      <c r="P16" s="5" t="s">
        <v>21</v>
      </c>
      <c r="Q16" s="5" t="s">
        <v>22</v>
      </c>
      <c r="R16" s="8">
        <f t="shared" si="0"/>
        <v>136</v>
      </c>
    </row>
    <row r="17" spans="1:18" x14ac:dyDescent="0.2">
      <c r="A17" s="5" t="s">
        <v>42</v>
      </c>
      <c r="B17" s="5" t="s">
        <v>44</v>
      </c>
      <c r="C17" s="6">
        <v>45950</v>
      </c>
      <c r="D17" s="6"/>
      <c r="E17" s="7">
        <v>61</v>
      </c>
      <c r="F17" s="7">
        <v>61</v>
      </c>
      <c r="G17" s="7">
        <v>0</v>
      </c>
      <c r="H17" s="7">
        <v>0</v>
      </c>
      <c r="I17" s="7">
        <v>0</v>
      </c>
      <c r="J17" s="7">
        <v>0</v>
      </c>
      <c r="K17" s="7">
        <v>61</v>
      </c>
      <c r="L17" s="7">
        <v>0</v>
      </c>
      <c r="M17" s="7">
        <v>0</v>
      </c>
      <c r="N17" s="7">
        <v>0</v>
      </c>
      <c r="O17" s="7">
        <v>0</v>
      </c>
      <c r="P17" s="5" t="s">
        <v>21</v>
      </c>
      <c r="Q17" s="5" t="s">
        <v>22</v>
      </c>
      <c r="R17" s="8">
        <f t="shared" si="0"/>
        <v>338</v>
      </c>
    </row>
    <row r="18" spans="1:18" x14ac:dyDescent="0.2">
      <c r="A18" s="5" t="s">
        <v>42</v>
      </c>
      <c r="B18" s="5" t="s">
        <v>45</v>
      </c>
      <c r="C18" s="6">
        <v>46022</v>
      </c>
      <c r="D18" s="6">
        <f ca="1">TODAY()+29</f>
        <v>46344</v>
      </c>
      <c r="E18" s="7">
        <v>40.049999999999997</v>
      </c>
      <c r="F18" s="7">
        <v>40.049999999999997</v>
      </c>
      <c r="G18" s="7">
        <v>0</v>
      </c>
      <c r="H18" s="7">
        <v>0</v>
      </c>
      <c r="I18" s="7">
        <v>0</v>
      </c>
      <c r="J18" s="7">
        <v>0</v>
      </c>
      <c r="K18" s="7">
        <v>40.049999999999997</v>
      </c>
      <c r="L18" s="7">
        <v>0</v>
      </c>
      <c r="M18" s="7">
        <v>0</v>
      </c>
      <c r="N18" s="7">
        <v>0</v>
      </c>
      <c r="O18" s="7">
        <v>0</v>
      </c>
      <c r="P18" s="5" t="s">
        <v>21</v>
      </c>
      <c r="Q18" s="5" t="s">
        <v>25</v>
      </c>
      <c r="R18" s="8">
        <f t="shared" si="0"/>
        <v>266</v>
      </c>
    </row>
    <row r="19" spans="1:18" x14ac:dyDescent="0.2">
      <c r="A19" s="5" t="s">
        <v>46</v>
      </c>
      <c r="B19" s="5" t="s">
        <v>47</v>
      </c>
      <c r="C19" s="6">
        <v>45984</v>
      </c>
      <c r="D19" s="6"/>
      <c r="E19" s="7">
        <v>83.2</v>
      </c>
      <c r="F19" s="7">
        <v>83.2</v>
      </c>
      <c r="G19" s="7">
        <v>0</v>
      </c>
      <c r="H19" s="7">
        <v>0</v>
      </c>
      <c r="I19" s="7">
        <v>0</v>
      </c>
      <c r="J19" s="7">
        <v>0</v>
      </c>
      <c r="K19" s="7">
        <v>83.2</v>
      </c>
      <c r="L19" s="7">
        <v>0</v>
      </c>
      <c r="M19" s="7">
        <v>0</v>
      </c>
      <c r="N19" s="7">
        <v>0</v>
      </c>
      <c r="O19" s="7">
        <v>0</v>
      </c>
      <c r="P19" s="5" t="s">
        <v>21</v>
      </c>
      <c r="Q19" s="5" t="s">
        <v>22</v>
      </c>
      <c r="R19" s="8">
        <f t="shared" si="0"/>
        <v>304</v>
      </c>
    </row>
    <row r="20" spans="1:18" x14ac:dyDescent="0.2">
      <c r="A20" s="5" t="s">
        <v>46</v>
      </c>
      <c r="B20" s="5" t="s">
        <v>48</v>
      </c>
      <c r="C20" s="6">
        <v>45942</v>
      </c>
      <c r="D20" s="6">
        <f ca="1">TODAY()+23</f>
        <v>46338</v>
      </c>
      <c r="E20" s="7">
        <v>30</v>
      </c>
      <c r="F20" s="7">
        <v>30</v>
      </c>
      <c r="G20" s="7">
        <v>0</v>
      </c>
      <c r="H20" s="7">
        <v>0</v>
      </c>
      <c r="I20" s="7">
        <v>0</v>
      </c>
      <c r="J20" s="7">
        <v>0</v>
      </c>
      <c r="K20" s="7">
        <v>30</v>
      </c>
      <c r="L20" s="7">
        <v>0</v>
      </c>
      <c r="M20" s="7">
        <v>0</v>
      </c>
      <c r="N20" s="7">
        <v>0</v>
      </c>
      <c r="O20" s="7">
        <v>0</v>
      </c>
      <c r="P20" s="5" t="s">
        <v>21</v>
      </c>
      <c r="Q20" s="5" t="s">
        <v>25</v>
      </c>
      <c r="R20" s="8">
        <f t="shared" si="0"/>
        <v>346</v>
      </c>
    </row>
    <row r="21" spans="1:18" x14ac:dyDescent="0.2">
      <c r="A21" s="5" t="s">
        <v>32</v>
      </c>
      <c r="B21" s="5" t="s">
        <v>33</v>
      </c>
      <c r="C21" s="6">
        <v>45961</v>
      </c>
      <c r="D21" s="6">
        <f ca="1">TODAY()+29</f>
        <v>46344</v>
      </c>
      <c r="E21" s="7">
        <v>195</v>
      </c>
      <c r="F21" s="7">
        <v>195</v>
      </c>
      <c r="G21" s="7">
        <v>0</v>
      </c>
      <c r="H21" s="7">
        <v>0</v>
      </c>
      <c r="I21" s="7">
        <v>0</v>
      </c>
      <c r="J21" s="7">
        <v>0</v>
      </c>
      <c r="K21" s="7">
        <v>195</v>
      </c>
      <c r="L21" s="7">
        <v>0</v>
      </c>
      <c r="M21" s="7">
        <v>0</v>
      </c>
      <c r="N21" s="7">
        <v>0</v>
      </c>
      <c r="O21" s="7">
        <v>0</v>
      </c>
      <c r="P21" s="5" t="s">
        <v>21</v>
      </c>
      <c r="Q21" s="5" t="s">
        <v>25</v>
      </c>
      <c r="R21" s="8">
        <f t="shared" si="0"/>
        <v>327</v>
      </c>
    </row>
    <row r="22" spans="1:18" x14ac:dyDescent="0.2">
      <c r="A22" s="5" t="s">
        <v>49</v>
      </c>
      <c r="B22" s="5" t="s">
        <v>50</v>
      </c>
      <c r="C22" s="6">
        <v>46036</v>
      </c>
      <c r="D22" s="6">
        <f ca="1">TODAY()+20</f>
        <v>46335</v>
      </c>
      <c r="E22" s="7">
        <v>37</v>
      </c>
      <c r="F22" s="7">
        <v>37</v>
      </c>
      <c r="G22" s="7">
        <v>0</v>
      </c>
      <c r="H22" s="7">
        <v>0</v>
      </c>
      <c r="I22" s="7">
        <v>0</v>
      </c>
      <c r="J22" s="7">
        <v>0</v>
      </c>
      <c r="K22" s="7">
        <v>37</v>
      </c>
      <c r="L22" s="7">
        <v>0</v>
      </c>
      <c r="M22" s="7">
        <v>0</v>
      </c>
      <c r="N22" s="7">
        <v>0</v>
      </c>
      <c r="O22" s="7">
        <v>0</v>
      </c>
      <c r="P22" s="5" t="s">
        <v>21</v>
      </c>
      <c r="Q22" s="5" t="s">
        <v>25</v>
      </c>
      <c r="R22" s="8">
        <f t="shared" si="0"/>
        <v>252</v>
      </c>
    </row>
    <row r="23" spans="1:18" x14ac:dyDescent="0.2">
      <c r="A23" s="5" t="s">
        <v>51</v>
      </c>
      <c r="B23" s="5" t="s">
        <v>52</v>
      </c>
      <c r="C23" s="6">
        <v>46181</v>
      </c>
      <c r="D23" s="6">
        <f ca="1">TODAY()+59</f>
        <v>46374</v>
      </c>
      <c r="E23" s="7">
        <v>4</v>
      </c>
      <c r="F23" s="7">
        <v>4</v>
      </c>
      <c r="G23" s="7">
        <v>0</v>
      </c>
      <c r="H23" s="7">
        <v>0</v>
      </c>
      <c r="I23" s="7">
        <v>0</v>
      </c>
      <c r="J23" s="7">
        <v>0</v>
      </c>
      <c r="K23" s="7">
        <v>4</v>
      </c>
      <c r="L23" s="7">
        <v>0</v>
      </c>
      <c r="M23" s="7">
        <v>0</v>
      </c>
      <c r="N23" s="7">
        <v>0</v>
      </c>
      <c r="O23" s="7">
        <v>0</v>
      </c>
      <c r="P23" s="5" t="s">
        <v>21</v>
      </c>
      <c r="Q23" s="5" t="s">
        <v>25</v>
      </c>
      <c r="R23" s="8">
        <f t="shared" si="0"/>
        <v>107</v>
      </c>
    </row>
    <row r="24" spans="1:18" x14ac:dyDescent="0.2">
      <c r="A24" s="5" t="s">
        <v>51</v>
      </c>
      <c r="B24" s="5" t="s">
        <v>53</v>
      </c>
      <c r="C24" s="6">
        <v>46008</v>
      </c>
      <c r="D24" s="6"/>
      <c r="E24" s="7">
        <v>109</v>
      </c>
      <c r="F24" s="7">
        <v>109</v>
      </c>
      <c r="G24" s="7">
        <v>0</v>
      </c>
      <c r="H24" s="7">
        <v>0</v>
      </c>
      <c r="I24" s="7">
        <v>0</v>
      </c>
      <c r="J24" s="7">
        <v>0</v>
      </c>
      <c r="K24" s="7">
        <v>109</v>
      </c>
      <c r="L24" s="7">
        <v>0</v>
      </c>
      <c r="M24" s="7">
        <v>0</v>
      </c>
      <c r="N24" s="7">
        <v>0</v>
      </c>
      <c r="O24" s="7">
        <v>0</v>
      </c>
      <c r="P24" s="5" t="s">
        <v>21</v>
      </c>
      <c r="Q24" s="5" t="s">
        <v>22</v>
      </c>
      <c r="R24" s="8">
        <f t="shared" si="0"/>
        <v>280</v>
      </c>
    </row>
    <row r="25" spans="1:18" x14ac:dyDescent="0.2">
      <c r="A25" s="5" t="s">
        <v>51</v>
      </c>
      <c r="B25" s="5" t="s">
        <v>54</v>
      </c>
      <c r="C25" s="6">
        <v>46158</v>
      </c>
      <c r="D25" s="6"/>
      <c r="E25" s="7">
        <v>159.69999999999999</v>
      </c>
      <c r="F25" s="7">
        <v>159.69999999999999</v>
      </c>
      <c r="G25" s="7">
        <v>0</v>
      </c>
      <c r="H25" s="7">
        <v>0</v>
      </c>
      <c r="I25" s="7">
        <v>0</v>
      </c>
      <c r="J25" s="7">
        <v>0</v>
      </c>
      <c r="K25" s="7">
        <v>159.69999999999999</v>
      </c>
      <c r="L25" s="7">
        <v>0</v>
      </c>
      <c r="M25" s="7">
        <v>0</v>
      </c>
      <c r="N25" s="7">
        <v>0</v>
      </c>
      <c r="O25" s="7">
        <v>0</v>
      </c>
      <c r="P25" s="5" t="s">
        <v>21</v>
      </c>
      <c r="Q25" s="5" t="s">
        <v>22</v>
      </c>
      <c r="R25" s="8">
        <f t="shared" si="0"/>
        <v>130</v>
      </c>
    </row>
    <row r="26" spans="1:18" x14ac:dyDescent="0.2">
      <c r="A26" s="5" t="s">
        <v>40</v>
      </c>
      <c r="B26" s="5" t="s">
        <v>41</v>
      </c>
      <c r="C26" s="6">
        <v>45917</v>
      </c>
      <c r="D26" s="6"/>
      <c r="E26" s="7">
        <v>59.6</v>
      </c>
      <c r="F26" s="7">
        <v>59.6</v>
      </c>
      <c r="G26" s="7">
        <v>0</v>
      </c>
      <c r="H26" s="7">
        <v>0</v>
      </c>
      <c r="I26" s="7">
        <v>0</v>
      </c>
      <c r="J26" s="7">
        <v>0</v>
      </c>
      <c r="K26" s="7">
        <v>59.6</v>
      </c>
      <c r="L26" s="7">
        <v>0</v>
      </c>
      <c r="M26" s="7">
        <v>0</v>
      </c>
      <c r="N26" s="7">
        <v>0</v>
      </c>
      <c r="O26" s="7">
        <v>0</v>
      </c>
      <c r="P26" s="5" t="s">
        <v>21</v>
      </c>
      <c r="Q26" s="5" t="s">
        <v>22</v>
      </c>
      <c r="R26" s="8">
        <f t="shared" si="0"/>
        <v>371</v>
      </c>
    </row>
    <row r="27" spans="1:18" x14ac:dyDescent="0.2">
      <c r="A27" s="5" t="s">
        <v>55</v>
      </c>
      <c r="B27" s="5" t="s">
        <v>56</v>
      </c>
      <c r="C27" s="6">
        <v>45961</v>
      </c>
      <c r="D27" s="6"/>
      <c r="E27" s="7">
        <v>53.4</v>
      </c>
      <c r="F27" s="7">
        <v>53.4</v>
      </c>
      <c r="G27" s="7">
        <v>0</v>
      </c>
      <c r="H27" s="7">
        <v>0</v>
      </c>
      <c r="I27" s="7">
        <v>0</v>
      </c>
      <c r="J27" s="7">
        <v>0</v>
      </c>
      <c r="K27" s="7">
        <v>53.4</v>
      </c>
      <c r="L27" s="7">
        <v>0</v>
      </c>
      <c r="M27" s="7">
        <v>0</v>
      </c>
      <c r="N27" s="7">
        <v>0</v>
      </c>
      <c r="O27" s="7">
        <v>0</v>
      </c>
      <c r="P27" s="5" t="s">
        <v>21</v>
      </c>
      <c r="Q27" s="5" t="s">
        <v>22</v>
      </c>
      <c r="R27" s="8">
        <f t="shared" si="0"/>
        <v>327</v>
      </c>
    </row>
    <row r="28" spans="1:18" x14ac:dyDescent="0.2">
      <c r="A28" s="5" t="s">
        <v>57</v>
      </c>
      <c r="B28" s="5" t="s">
        <v>58</v>
      </c>
      <c r="C28" s="6">
        <v>46047</v>
      </c>
      <c r="D28" s="6">
        <f ca="1">TODAY()+41</f>
        <v>46356</v>
      </c>
      <c r="E28" s="7">
        <v>14</v>
      </c>
      <c r="F28" s="7">
        <v>14</v>
      </c>
      <c r="G28" s="7">
        <v>0</v>
      </c>
      <c r="H28" s="7">
        <v>0</v>
      </c>
      <c r="I28" s="7">
        <v>0</v>
      </c>
      <c r="J28" s="7">
        <v>0</v>
      </c>
      <c r="K28" s="7">
        <v>14</v>
      </c>
      <c r="L28" s="7">
        <v>0</v>
      </c>
      <c r="M28" s="7">
        <v>0</v>
      </c>
      <c r="N28" s="7">
        <v>0</v>
      </c>
      <c r="O28" s="7">
        <v>0</v>
      </c>
      <c r="P28" s="5" t="s">
        <v>21</v>
      </c>
      <c r="Q28" s="5" t="s">
        <v>25</v>
      </c>
      <c r="R28" s="8">
        <f t="shared" si="0"/>
        <v>241</v>
      </c>
    </row>
    <row r="29" spans="1:18" x14ac:dyDescent="0.2">
      <c r="A29" s="5" t="s">
        <v>59</v>
      </c>
      <c r="B29" s="5" t="s">
        <v>60</v>
      </c>
      <c r="C29" s="6">
        <v>46079</v>
      </c>
      <c r="D29" s="6">
        <f ca="1">TODAY()+10</f>
        <v>46325</v>
      </c>
      <c r="E29" s="7">
        <v>1431.34</v>
      </c>
      <c r="F29" s="7">
        <v>1431.34</v>
      </c>
      <c r="G29" s="7">
        <v>0</v>
      </c>
      <c r="H29" s="7">
        <v>0</v>
      </c>
      <c r="I29" s="7">
        <v>0</v>
      </c>
      <c r="J29" s="7">
        <v>0</v>
      </c>
      <c r="K29" s="7">
        <v>1431.34</v>
      </c>
      <c r="L29" s="7">
        <v>0</v>
      </c>
      <c r="M29" s="7">
        <v>0</v>
      </c>
      <c r="N29" s="7">
        <v>0</v>
      </c>
      <c r="O29" s="7">
        <v>0</v>
      </c>
      <c r="P29" s="5" t="s">
        <v>21</v>
      </c>
      <c r="Q29" s="5" t="s">
        <v>25</v>
      </c>
      <c r="R29" s="8">
        <f t="shared" si="0"/>
        <v>209</v>
      </c>
    </row>
    <row r="30" spans="1:18" x14ac:dyDescent="0.2">
      <c r="A30" s="5" t="s">
        <v>42</v>
      </c>
      <c r="B30" s="5" t="s">
        <v>43</v>
      </c>
      <c r="C30" s="6">
        <v>46152</v>
      </c>
      <c r="D30" s="6"/>
      <c r="E30" s="7">
        <v>109.6</v>
      </c>
      <c r="F30" s="7">
        <v>109.6</v>
      </c>
      <c r="G30" s="7">
        <v>0</v>
      </c>
      <c r="H30" s="7">
        <v>0</v>
      </c>
      <c r="I30" s="7">
        <v>0</v>
      </c>
      <c r="J30" s="7">
        <v>0</v>
      </c>
      <c r="K30" s="7">
        <v>109.6</v>
      </c>
      <c r="L30" s="7">
        <v>0</v>
      </c>
      <c r="M30" s="7">
        <v>0</v>
      </c>
      <c r="N30" s="7">
        <v>0</v>
      </c>
      <c r="O30" s="7">
        <v>0</v>
      </c>
      <c r="P30" s="5" t="s">
        <v>21</v>
      </c>
      <c r="Q30" s="5" t="s">
        <v>22</v>
      </c>
      <c r="R30" s="8">
        <f t="shared" si="0"/>
        <v>136</v>
      </c>
    </row>
    <row r="31" spans="1:18" x14ac:dyDescent="0.2">
      <c r="A31" s="5" t="s">
        <v>59</v>
      </c>
      <c r="B31" s="5" t="s">
        <v>61</v>
      </c>
      <c r="C31" s="6">
        <v>45945</v>
      </c>
      <c r="D31" s="6"/>
      <c r="E31" s="7">
        <v>30</v>
      </c>
      <c r="F31" s="7">
        <v>30</v>
      </c>
      <c r="G31" s="7">
        <v>0</v>
      </c>
      <c r="H31" s="7">
        <v>0</v>
      </c>
      <c r="I31" s="7">
        <v>0</v>
      </c>
      <c r="J31" s="7">
        <v>0</v>
      </c>
      <c r="K31" s="7">
        <v>30</v>
      </c>
      <c r="L31" s="7">
        <v>0</v>
      </c>
      <c r="M31" s="7">
        <v>0</v>
      </c>
      <c r="N31" s="7">
        <v>0</v>
      </c>
      <c r="O31" s="7">
        <v>0</v>
      </c>
      <c r="P31" s="5" t="s">
        <v>21</v>
      </c>
      <c r="Q31" s="5" t="s">
        <v>22</v>
      </c>
      <c r="R31" s="8">
        <f t="shared" si="0"/>
        <v>343</v>
      </c>
    </row>
    <row r="32" spans="1:18" x14ac:dyDescent="0.2">
      <c r="A32" s="5" t="s">
        <v>62</v>
      </c>
      <c r="B32" s="5" t="s">
        <v>63</v>
      </c>
      <c r="C32" s="6">
        <v>46065</v>
      </c>
      <c r="D32" s="6">
        <f ca="1">TODAY()+24</f>
        <v>46339</v>
      </c>
      <c r="E32" s="7">
        <v>2</v>
      </c>
      <c r="F32" s="7">
        <v>2</v>
      </c>
      <c r="G32" s="7">
        <v>0</v>
      </c>
      <c r="H32" s="7">
        <v>0</v>
      </c>
      <c r="I32" s="7">
        <v>0</v>
      </c>
      <c r="J32" s="7">
        <v>0</v>
      </c>
      <c r="K32" s="7">
        <v>2</v>
      </c>
      <c r="L32" s="7">
        <v>0</v>
      </c>
      <c r="M32" s="7">
        <v>0</v>
      </c>
      <c r="N32" s="7">
        <v>0</v>
      </c>
      <c r="O32" s="7">
        <v>0</v>
      </c>
      <c r="P32" s="5" t="s">
        <v>21</v>
      </c>
      <c r="Q32" s="5" t="s">
        <v>25</v>
      </c>
      <c r="R32" s="8">
        <f t="shared" si="0"/>
        <v>223</v>
      </c>
    </row>
    <row r="33" spans="1:18" x14ac:dyDescent="0.2">
      <c r="A33" s="5" t="s">
        <v>64</v>
      </c>
      <c r="B33" s="5" t="s">
        <v>65</v>
      </c>
      <c r="C33" s="6">
        <v>46170</v>
      </c>
      <c r="D33" s="6"/>
      <c r="E33" s="7">
        <v>23</v>
      </c>
      <c r="F33" s="7">
        <v>23</v>
      </c>
      <c r="G33" s="7">
        <v>0</v>
      </c>
      <c r="H33" s="7">
        <v>0</v>
      </c>
      <c r="I33" s="7">
        <v>0</v>
      </c>
      <c r="J33" s="7">
        <v>0</v>
      </c>
      <c r="K33" s="7">
        <v>23</v>
      </c>
      <c r="L33" s="7">
        <v>0</v>
      </c>
      <c r="M33" s="7">
        <v>0</v>
      </c>
      <c r="N33" s="7">
        <v>0</v>
      </c>
      <c r="O33" s="7">
        <v>0</v>
      </c>
      <c r="P33" s="5" t="s">
        <v>21</v>
      </c>
      <c r="Q33" s="5" t="s">
        <v>22</v>
      </c>
      <c r="R33" s="8">
        <f t="shared" si="0"/>
        <v>118</v>
      </c>
    </row>
    <row r="34" spans="1:18" x14ac:dyDescent="0.2">
      <c r="A34" s="5" t="s">
        <v>64</v>
      </c>
      <c r="B34" s="5" t="s">
        <v>66</v>
      </c>
      <c r="C34" s="6">
        <v>45931</v>
      </c>
      <c r="D34" s="6"/>
      <c r="E34" s="7">
        <v>16</v>
      </c>
      <c r="F34" s="7">
        <v>16</v>
      </c>
      <c r="G34" s="7">
        <v>0</v>
      </c>
      <c r="H34" s="7">
        <v>0</v>
      </c>
      <c r="I34" s="7">
        <v>0</v>
      </c>
      <c r="J34" s="7">
        <v>0</v>
      </c>
      <c r="K34" s="7">
        <v>16</v>
      </c>
      <c r="L34" s="7">
        <v>0</v>
      </c>
      <c r="M34" s="7">
        <v>0</v>
      </c>
      <c r="N34" s="7">
        <v>0</v>
      </c>
      <c r="O34" s="7">
        <v>0</v>
      </c>
      <c r="P34" s="5" t="s">
        <v>21</v>
      </c>
      <c r="Q34" s="5" t="s">
        <v>22</v>
      </c>
      <c r="R34" s="8">
        <f t="shared" ref="R34:R65" si="1">DATE(2026,9,23)-C34</f>
        <v>357</v>
      </c>
    </row>
    <row r="35" spans="1:18" x14ac:dyDescent="0.2">
      <c r="A35" s="5" t="s">
        <v>64</v>
      </c>
      <c r="B35" s="5" t="s">
        <v>65</v>
      </c>
      <c r="C35" s="6">
        <v>46170</v>
      </c>
      <c r="D35" s="6"/>
      <c r="E35" s="7">
        <v>6.3</v>
      </c>
      <c r="F35" s="7">
        <v>6.3</v>
      </c>
      <c r="G35" s="7">
        <v>0</v>
      </c>
      <c r="H35" s="7">
        <v>0</v>
      </c>
      <c r="I35" s="7">
        <v>0</v>
      </c>
      <c r="J35" s="7">
        <v>0</v>
      </c>
      <c r="K35" s="7">
        <v>6.3</v>
      </c>
      <c r="L35" s="7">
        <v>0</v>
      </c>
      <c r="M35" s="7">
        <v>0</v>
      </c>
      <c r="N35" s="7">
        <v>0</v>
      </c>
      <c r="O35" s="7">
        <v>0</v>
      </c>
      <c r="P35" s="5" t="s">
        <v>21</v>
      </c>
      <c r="Q35" s="5" t="s">
        <v>22</v>
      </c>
      <c r="R35" s="8">
        <f t="shared" si="1"/>
        <v>118</v>
      </c>
    </row>
    <row r="36" spans="1:18" x14ac:dyDescent="0.2">
      <c r="A36" s="5" t="s">
        <v>32</v>
      </c>
      <c r="B36" s="5" t="s">
        <v>33</v>
      </c>
      <c r="C36" s="6">
        <v>45961</v>
      </c>
      <c r="D36" s="6">
        <f ca="1">TODAY()+29</f>
        <v>46344</v>
      </c>
      <c r="E36" s="7">
        <v>233</v>
      </c>
      <c r="F36" s="7">
        <v>233</v>
      </c>
      <c r="G36" s="7">
        <v>0</v>
      </c>
      <c r="H36" s="7">
        <v>0</v>
      </c>
      <c r="I36" s="7">
        <v>0</v>
      </c>
      <c r="J36" s="7">
        <v>0</v>
      </c>
      <c r="K36" s="7">
        <v>233</v>
      </c>
      <c r="L36" s="7">
        <v>0</v>
      </c>
      <c r="M36" s="7">
        <v>0</v>
      </c>
      <c r="N36" s="7">
        <v>0</v>
      </c>
      <c r="O36" s="7">
        <v>0</v>
      </c>
      <c r="P36" s="5" t="s">
        <v>21</v>
      </c>
      <c r="Q36" s="5" t="s">
        <v>25</v>
      </c>
      <c r="R36" s="8">
        <f t="shared" si="1"/>
        <v>327</v>
      </c>
    </row>
    <row r="37" spans="1:18" x14ac:dyDescent="0.2">
      <c r="A37" s="5" t="s">
        <v>64</v>
      </c>
      <c r="B37" s="5" t="s">
        <v>67</v>
      </c>
      <c r="C37" s="6">
        <v>46067</v>
      </c>
      <c r="D37" s="6"/>
      <c r="E37" s="7">
        <v>103.25</v>
      </c>
      <c r="F37" s="7">
        <v>103.25</v>
      </c>
      <c r="G37" s="7">
        <v>0</v>
      </c>
      <c r="H37" s="7">
        <v>0</v>
      </c>
      <c r="I37" s="7">
        <v>0</v>
      </c>
      <c r="J37" s="7">
        <v>0</v>
      </c>
      <c r="K37" s="7">
        <v>103.25</v>
      </c>
      <c r="L37" s="7">
        <v>0</v>
      </c>
      <c r="M37" s="7">
        <v>0</v>
      </c>
      <c r="N37" s="7">
        <v>0</v>
      </c>
      <c r="O37" s="7">
        <v>0</v>
      </c>
      <c r="P37" s="5" t="s">
        <v>21</v>
      </c>
      <c r="Q37" s="5" t="s">
        <v>22</v>
      </c>
      <c r="R37" s="8">
        <f t="shared" si="1"/>
        <v>221</v>
      </c>
    </row>
    <row r="38" spans="1:18" x14ac:dyDescent="0.2">
      <c r="A38" s="5" t="s">
        <v>68</v>
      </c>
      <c r="B38" s="5" t="s">
        <v>69</v>
      </c>
      <c r="C38" s="6">
        <v>46048</v>
      </c>
      <c r="D38" s="6"/>
      <c r="E38" s="7">
        <v>30</v>
      </c>
      <c r="F38" s="7">
        <v>30</v>
      </c>
      <c r="G38" s="7">
        <v>0</v>
      </c>
      <c r="H38" s="7">
        <v>0</v>
      </c>
      <c r="I38" s="7">
        <v>0</v>
      </c>
      <c r="J38" s="7">
        <v>0</v>
      </c>
      <c r="K38" s="7">
        <v>30</v>
      </c>
      <c r="L38" s="7">
        <v>0</v>
      </c>
      <c r="M38" s="7">
        <v>0</v>
      </c>
      <c r="N38" s="7">
        <v>0</v>
      </c>
      <c r="O38" s="7">
        <v>0</v>
      </c>
      <c r="P38" s="5" t="s">
        <v>21</v>
      </c>
      <c r="Q38" s="5" t="s">
        <v>22</v>
      </c>
      <c r="R38" s="8">
        <f t="shared" si="1"/>
        <v>240</v>
      </c>
    </row>
    <row r="39" spans="1:18" x14ac:dyDescent="0.2">
      <c r="A39" s="5" t="s">
        <v>68</v>
      </c>
      <c r="B39" s="5" t="s">
        <v>70</v>
      </c>
      <c r="C39" s="6">
        <v>45906</v>
      </c>
      <c r="D39" s="6">
        <f ca="1">TODAY()+8</f>
        <v>46323</v>
      </c>
      <c r="E39" s="7">
        <v>16</v>
      </c>
      <c r="F39" s="7">
        <v>16</v>
      </c>
      <c r="G39" s="7">
        <v>0</v>
      </c>
      <c r="H39" s="7">
        <v>0</v>
      </c>
      <c r="I39" s="7">
        <v>0</v>
      </c>
      <c r="J39" s="7">
        <v>0</v>
      </c>
      <c r="K39" s="7">
        <v>16</v>
      </c>
      <c r="L39" s="7">
        <v>0</v>
      </c>
      <c r="M39" s="7">
        <v>0</v>
      </c>
      <c r="N39" s="7">
        <v>0</v>
      </c>
      <c r="O39" s="7">
        <v>0</v>
      </c>
      <c r="P39" s="5" t="s">
        <v>21</v>
      </c>
      <c r="Q39" s="5" t="s">
        <v>25</v>
      </c>
      <c r="R39" s="8">
        <f t="shared" si="1"/>
        <v>382</v>
      </c>
    </row>
    <row r="40" spans="1:18" x14ac:dyDescent="0.2">
      <c r="A40" s="5" t="s">
        <v>71</v>
      </c>
      <c r="B40" s="5" t="s">
        <v>72</v>
      </c>
      <c r="C40" s="6">
        <v>46141</v>
      </c>
      <c r="D40" s="6"/>
      <c r="E40" s="7">
        <v>2226.15</v>
      </c>
      <c r="F40" s="7">
        <v>1228.78</v>
      </c>
      <c r="G40" s="7">
        <v>997.37</v>
      </c>
      <c r="H40" s="7">
        <v>0</v>
      </c>
      <c r="I40" s="7">
        <v>0</v>
      </c>
      <c r="J40" s="7">
        <v>0</v>
      </c>
      <c r="K40" s="7">
        <v>1228.78</v>
      </c>
      <c r="L40" s="7">
        <v>0</v>
      </c>
      <c r="M40" s="7">
        <v>0</v>
      </c>
      <c r="N40" s="7">
        <v>0</v>
      </c>
      <c r="O40" s="7">
        <v>997.37</v>
      </c>
      <c r="P40" s="5" t="s">
        <v>21</v>
      </c>
      <c r="Q40" s="5" t="s">
        <v>22</v>
      </c>
      <c r="R40" s="8">
        <f t="shared" si="1"/>
        <v>147</v>
      </c>
    </row>
    <row r="41" spans="1:18" x14ac:dyDescent="0.2">
      <c r="A41" s="5" t="s">
        <v>73</v>
      </c>
      <c r="B41" s="5" t="s">
        <v>74</v>
      </c>
      <c r="C41" s="6">
        <v>46020</v>
      </c>
      <c r="D41" s="6"/>
      <c r="E41" s="7">
        <v>15</v>
      </c>
      <c r="F41" s="7">
        <v>15</v>
      </c>
      <c r="G41" s="7">
        <v>0</v>
      </c>
      <c r="H41" s="7">
        <v>0</v>
      </c>
      <c r="I41" s="7">
        <v>0</v>
      </c>
      <c r="J41" s="7">
        <v>0</v>
      </c>
      <c r="K41" s="7">
        <v>15</v>
      </c>
      <c r="L41" s="7">
        <v>0</v>
      </c>
      <c r="M41" s="7">
        <v>0</v>
      </c>
      <c r="N41" s="7">
        <v>0</v>
      </c>
      <c r="O41" s="7">
        <v>0</v>
      </c>
      <c r="P41" s="5" t="s">
        <v>21</v>
      </c>
      <c r="Q41" s="5" t="s">
        <v>22</v>
      </c>
      <c r="R41" s="8">
        <f t="shared" si="1"/>
        <v>268</v>
      </c>
    </row>
    <row r="42" spans="1:18" x14ac:dyDescent="0.2">
      <c r="A42" s="5" t="s">
        <v>73</v>
      </c>
      <c r="B42" s="5" t="s">
        <v>75</v>
      </c>
      <c r="C42" s="6">
        <v>45921</v>
      </c>
      <c r="D42" s="6"/>
      <c r="E42" s="7">
        <v>46</v>
      </c>
      <c r="F42" s="7">
        <v>46</v>
      </c>
      <c r="G42" s="7">
        <v>0</v>
      </c>
      <c r="H42" s="7">
        <v>0</v>
      </c>
      <c r="I42" s="7">
        <v>0</v>
      </c>
      <c r="J42" s="7">
        <v>0</v>
      </c>
      <c r="K42" s="7">
        <v>46</v>
      </c>
      <c r="L42" s="7">
        <v>0</v>
      </c>
      <c r="M42" s="7">
        <v>0</v>
      </c>
      <c r="N42" s="7">
        <v>0</v>
      </c>
      <c r="O42" s="7">
        <v>0</v>
      </c>
      <c r="P42" s="5" t="s">
        <v>21</v>
      </c>
      <c r="Q42" s="5" t="s">
        <v>22</v>
      </c>
      <c r="R42" s="8">
        <f t="shared" si="1"/>
        <v>367</v>
      </c>
    </row>
    <row r="43" spans="1:18" x14ac:dyDescent="0.2">
      <c r="A43" s="5" t="s">
        <v>76</v>
      </c>
      <c r="B43" s="5" t="s">
        <v>77</v>
      </c>
      <c r="C43" s="6">
        <v>45935</v>
      </c>
      <c r="D43" s="6">
        <f ca="1">TODAY()+54</f>
        <v>46369</v>
      </c>
      <c r="E43" s="7">
        <v>30</v>
      </c>
      <c r="F43" s="7">
        <v>30</v>
      </c>
      <c r="G43" s="7">
        <v>0</v>
      </c>
      <c r="H43" s="7">
        <v>0</v>
      </c>
      <c r="I43" s="7">
        <v>0</v>
      </c>
      <c r="J43" s="7">
        <v>0</v>
      </c>
      <c r="K43" s="7">
        <v>30</v>
      </c>
      <c r="L43" s="7">
        <v>0</v>
      </c>
      <c r="M43" s="7">
        <v>0</v>
      </c>
      <c r="N43" s="7">
        <v>0</v>
      </c>
      <c r="O43" s="7">
        <v>0</v>
      </c>
      <c r="P43" s="5" t="s">
        <v>21</v>
      </c>
      <c r="Q43" s="5" t="s">
        <v>25</v>
      </c>
      <c r="R43" s="8">
        <f t="shared" si="1"/>
        <v>353</v>
      </c>
    </row>
    <row r="44" spans="1:18" x14ac:dyDescent="0.2">
      <c r="A44" s="5" t="s">
        <v>42</v>
      </c>
      <c r="B44" s="5" t="s">
        <v>44</v>
      </c>
      <c r="C44" s="6">
        <v>45950</v>
      </c>
      <c r="D44" s="6"/>
      <c r="E44" s="7">
        <v>72</v>
      </c>
      <c r="F44" s="7">
        <v>72</v>
      </c>
      <c r="G44" s="7">
        <v>0</v>
      </c>
      <c r="H44" s="7">
        <v>0</v>
      </c>
      <c r="I44" s="7">
        <v>0</v>
      </c>
      <c r="J44" s="7">
        <v>0</v>
      </c>
      <c r="K44" s="7">
        <v>72</v>
      </c>
      <c r="L44" s="7">
        <v>0</v>
      </c>
      <c r="M44" s="7">
        <v>0</v>
      </c>
      <c r="N44" s="7">
        <v>0</v>
      </c>
      <c r="O44" s="7">
        <v>0</v>
      </c>
      <c r="P44" s="5" t="s">
        <v>21</v>
      </c>
      <c r="Q44" s="5" t="s">
        <v>22</v>
      </c>
      <c r="R44" s="8">
        <f t="shared" si="1"/>
        <v>338</v>
      </c>
    </row>
    <row r="45" spans="1:18" x14ac:dyDescent="0.2">
      <c r="A45" s="5" t="s">
        <v>78</v>
      </c>
      <c r="B45" s="5" t="s">
        <v>79</v>
      </c>
      <c r="C45" s="6">
        <v>45893</v>
      </c>
      <c r="D45" s="6"/>
      <c r="E45" s="7">
        <v>2.6</v>
      </c>
      <c r="F45" s="7">
        <v>2.6</v>
      </c>
      <c r="G45" s="7">
        <v>0</v>
      </c>
      <c r="H45" s="7">
        <v>0</v>
      </c>
      <c r="I45" s="7">
        <v>0</v>
      </c>
      <c r="J45" s="7">
        <v>0</v>
      </c>
      <c r="K45" s="7">
        <v>2.6</v>
      </c>
      <c r="L45" s="7">
        <v>0</v>
      </c>
      <c r="M45" s="7">
        <v>0</v>
      </c>
      <c r="N45" s="7">
        <v>0</v>
      </c>
      <c r="O45" s="7">
        <v>0</v>
      </c>
      <c r="P45" s="5" t="s">
        <v>21</v>
      </c>
      <c r="Q45" s="5" t="s">
        <v>22</v>
      </c>
      <c r="R45" s="8">
        <f t="shared" si="1"/>
        <v>395</v>
      </c>
    </row>
    <row r="46" spans="1:18" x14ac:dyDescent="0.2">
      <c r="A46" s="5" t="s">
        <v>57</v>
      </c>
      <c r="B46" s="5" t="s">
        <v>58</v>
      </c>
      <c r="C46" s="6">
        <v>46047</v>
      </c>
      <c r="D46" s="6">
        <f ca="1">TODAY()+41</f>
        <v>46356</v>
      </c>
      <c r="E46" s="7">
        <v>30</v>
      </c>
      <c r="F46" s="7">
        <v>30</v>
      </c>
      <c r="G46" s="7">
        <v>0</v>
      </c>
      <c r="H46" s="7">
        <v>0</v>
      </c>
      <c r="I46" s="7">
        <v>0</v>
      </c>
      <c r="J46" s="7">
        <v>0</v>
      </c>
      <c r="K46" s="7">
        <v>30</v>
      </c>
      <c r="L46" s="7">
        <v>0</v>
      </c>
      <c r="M46" s="7">
        <v>0</v>
      </c>
      <c r="N46" s="7">
        <v>0</v>
      </c>
      <c r="O46" s="7">
        <v>0</v>
      </c>
      <c r="P46" s="5" t="s">
        <v>21</v>
      </c>
      <c r="Q46" s="5" t="s">
        <v>25</v>
      </c>
      <c r="R46" s="8">
        <f t="shared" si="1"/>
        <v>241</v>
      </c>
    </row>
    <row r="47" spans="1:18" x14ac:dyDescent="0.2">
      <c r="A47" s="5" t="s">
        <v>59</v>
      </c>
      <c r="B47" s="5" t="s">
        <v>60</v>
      </c>
      <c r="C47" s="6">
        <v>46079</v>
      </c>
      <c r="D47" s="6">
        <f ca="1">TODAY()+10</f>
        <v>46325</v>
      </c>
      <c r="E47" s="7">
        <v>108.6</v>
      </c>
      <c r="F47" s="7">
        <v>108.6</v>
      </c>
      <c r="G47" s="7">
        <v>0</v>
      </c>
      <c r="H47" s="7">
        <v>0</v>
      </c>
      <c r="I47" s="7">
        <v>0</v>
      </c>
      <c r="J47" s="7">
        <v>0</v>
      </c>
      <c r="K47" s="7">
        <v>108.6</v>
      </c>
      <c r="L47" s="7">
        <v>0</v>
      </c>
      <c r="M47" s="7">
        <v>0</v>
      </c>
      <c r="N47" s="7">
        <v>0</v>
      </c>
      <c r="O47" s="7">
        <v>0</v>
      </c>
      <c r="P47" s="5" t="s">
        <v>21</v>
      </c>
      <c r="Q47" s="5" t="s">
        <v>25</v>
      </c>
      <c r="R47" s="8">
        <f t="shared" si="1"/>
        <v>209</v>
      </c>
    </row>
    <row r="48" spans="1:18" x14ac:dyDescent="0.2">
      <c r="A48" s="5" t="s">
        <v>42</v>
      </c>
      <c r="B48" s="5" t="s">
        <v>43</v>
      </c>
      <c r="C48" s="6">
        <v>46152</v>
      </c>
      <c r="D48" s="6"/>
      <c r="E48" s="7">
        <v>138</v>
      </c>
      <c r="F48" s="7">
        <v>138</v>
      </c>
      <c r="G48" s="7">
        <v>0</v>
      </c>
      <c r="H48" s="7">
        <v>0</v>
      </c>
      <c r="I48" s="7">
        <v>0</v>
      </c>
      <c r="J48" s="7">
        <v>0</v>
      </c>
      <c r="K48" s="7">
        <v>138</v>
      </c>
      <c r="L48" s="7">
        <v>0</v>
      </c>
      <c r="M48" s="7">
        <v>0</v>
      </c>
      <c r="N48" s="7">
        <v>0</v>
      </c>
      <c r="O48" s="7">
        <v>0</v>
      </c>
      <c r="P48" s="5" t="s">
        <v>21</v>
      </c>
      <c r="Q48" s="5" t="s">
        <v>22</v>
      </c>
      <c r="R48" s="8">
        <f t="shared" si="1"/>
        <v>136</v>
      </c>
    </row>
    <row r="49" spans="1:18" x14ac:dyDescent="0.2">
      <c r="A49" s="5" t="s">
        <v>80</v>
      </c>
      <c r="B49" s="5" t="s">
        <v>81</v>
      </c>
      <c r="C49" s="6">
        <v>46010</v>
      </c>
      <c r="D49" s="6"/>
      <c r="E49" s="7">
        <v>366</v>
      </c>
      <c r="F49" s="7">
        <v>366</v>
      </c>
      <c r="G49" s="7">
        <v>0</v>
      </c>
      <c r="H49" s="7">
        <v>0</v>
      </c>
      <c r="I49" s="7">
        <v>0</v>
      </c>
      <c r="J49" s="7">
        <v>0</v>
      </c>
      <c r="K49" s="7">
        <v>366</v>
      </c>
      <c r="L49" s="7">
        <v>0</v>
      </c>
      <c r="M49" s="7">
        <v>0</v>
      </c>
      <c r="N49" s="7">
        <v>0</v>
      </c>
      <c r="O49" s="7">
        <v>0</v>
      </c>
      <c r="P49" s="5" t="s">
        <v>21</v>
      </c>
      <c r="Q49" s="5" t="s">
        <v>22</v>
      </c>
      <c r="R49" s="8">
        <f t="shared" si="1"/>
        <v>278</v>
      </c>
    </row>
    <row r="50" spans="1:18" x14ac:dyDescent="0.2">
      <c r="A50" s="5" t="s">
        <v>80</v>
      </c>
      <c r="B50" s="5" t="s">
        <v>82</v>
      </c>
      <c r="C50" s="6">
        <v>46189</v>
      </c>
      <c r="D50" s="6"/>
      <c r="E50" s="7">
        <v>984</v>
      </c>
      <c r="F50" s="7">
        <v>984</v>
      </c>
      <c r="G50" s="7">
        <v>0</v>
      </c>
      <c r="H50" s="7">
        <v>0</v>
      </c>
      <c r="I50" s="7">
        <v>0</v>
      </c>
      <c r="J50" s="7">
        <v>0</v>
      </c>
      <c r="K50" s="7">
        <v>984</v>
      </c>
      <c r="L50" s="7">
        <v>0</v>
      </c>
      <c r="M50" s="7">
        <v>0</v>
      </c>
      <c r="N50" s="7">
        <v>0</v>
      </c>
      <c r="O50" s="7">
        <v>0</v>
      </c>
      <c r="P50" s="5" t="s">
        <v>21</v>
      </c>
      <c r="Q50" s="5" t="s">
        <v>22</v>
      </c>
      <c r="R50" s="8">
        <f t="shared" si="1"/>
        <v>99</v>
      </c>
    </row>
    <row r="51" spans="1:18" x14ac:dyDescent="0.2">
      <c r="A51" s="5" t="s">
        <v>83</v>
      </c>
      <c r="B51" s="5" t="s">
        <v>84</v>
      </c>
      <c r="C51" s="6">
        <v>45956</v>
      </c>
      <c r="D51" s="6">
        <f ca="1">TODAY()+65</f>
        <v>46380</v>
      </c>
      <c r="E51" s="7">
        <v>50</v>
      </c>
      <c r="F51" s="7">
        <v>50</v>
      </c>
      <c r="G51" s="7">
        <v>0</v>
      </c>
      <c r="H51" s="7">
        <v>0</v>
      </c>
      <c r="I51" s="7">
        <v>0</v>
      </c>
      <c r="J51" s="7">
        <v>0</v>
      </c>
      <c r="K51" s="7">
        <v>50</v>
      </c>
      <c r="L51" s="7">
        <v>0</v>
      </c>
      <c r="M51" s="7">
        <v>0</v>
      </c>
      <c r="N51" s="7">
        <v>0</v>
      </c>
      <c r="O51" s="7">
        <v>0</v>
      </c>
      <c r="P51" s="5" t="s">
        <v>21</v>
      </c>
      <c r="Q51" s="5" t="s">
        <v>25</v>
      </c>
      <c r="R51" s="8">
        <f t="shared" si="1"/>
        <v>332</v>
      </c>
    </row>
    <row r="52" spans="1:18" x14ac:dyDescent="0.2">
      <c r="A52" s="5" t="s">
        <v>85</v>
      </c>
      <c r="B52" s="5" t="s">
        <v>86</v>
      </c>
      <c r="C52" s="6">
        <v>45901</v>
      </c>
      <c r="D52" s="6"/>
      <c r="E52" s="7">
        <v>28.4</v>
      </c>
      <c r="F52" s="7">
        <v>28.4</v>
      </c>
      <c r="G52" s="7">
        <v>0</v>
      </c>
      <c r="H52" s="7">
        <v>0</v>
      </c>
      <c r="I52" s="7">
        <v>0</v>
      </c>
      <c r="J52" s="7">
        <v>0</v>
      </c>
      <c r="K52" s="7">
        <v>28.4</v>
      </c>
      <c r="L52" s="7">
        <v>0</v>
      </c>
      <c r="M52" s="7">
        <v>0</v>
      </c>
      <c r="N52" s="7">
        <v>0</v>
      </c>
      <c r="O52" s="7">
        <v>0</v>
      </c>
      <c r="P52" s="5" t="s">
        <v>21</v>
      </c>
      <c r="Q52" s="5" t="s">
        <v>22</v>
      </c>
      <c r="R52" s="8">
        <f t="shared" si="1"/>
        <v>387</v>
      </c>
    </row>
    <row r="53" spans="1:18" x14ac:dyDescent="0.2">
      <c r="A53" s="5" t="s">
        <v>87</v>
      </c>
      <c r="B53" s="5" t="s">
        <v>88</v>
      </c>
      <c r="C53" s="6">
        <v>45983</v>
      </c>
      <c r="D53" s="6"/>
      <c r="E53" s="7">
        <v>277</v>
      </c>
      <c r="F53" s="7">
        <v>277</v>
      </c>
      <c r="G53" s="7">
        <v>0</v>
      </c>
      <c r="H53" s="7">
        <v>0</v>
      </c>
      <c r="I53" s="7">
        <v>0</v>
      </c>
      <c r="J53" s="7">
        <v>0</v>
      </c>
      <c r="K53" s="7">
        <v>277</v>
      </c>
      <c r="L53" s="7">
        <v>0</v>
      </c>
      <c r="M53" s="7">
        <v>0</v>
      </c>
      <c r="N53" s="7">
        <v>0</v>
      </c>
      <c r="O53" s="7">
        <v>0</v>
      </c>
      <c r="P53" s="5" t="s">
        <v>21</v>
      </c>
      <c r="Q53" s="5" t="s">
        <v>22</v>
      </c>
      <c r="R53" s="8">
        <f t="shared" si="1"/>
        <v>305</v>
      </c>
    </row>
    <row r="54" spans="1:18" x14ac:dyDescent="0.2">
      <c r="A54" s="5" t="s">
        <v>89</v>
      </c>
      <c r="B54" s="5" t="s">
        <v>90</v>
      </c>
      <c r="C54" s="6">
        <v>46169</v>
      </c>
      <c r="D54" s="6"/>
      <c r="E54" s="7">
        <v>66</v>
      </c>
      <c r="F54" s="7">
        <v>66</v>
      </c>
      <c r="G54" s="7">
        <v>0</v>
      </c>
      <c r="H54" s="7">
        <v>0</v>
      </c>
      <c r="I54" s="7">
        <v>0</v>
      </c>
      <c r="J54" s="7">
        <v>0</v>
      </c>
      <c r="K54" s="7">
        <v>66</v>
      </c>
      <c r="L54" s="7">
        <v>0</v>
      </c>
      <c r="M54" s="7">
        <v>0</v>
      </c>
      <c r="N54" s="7">
        <v>0</v>
      </c>
      <c r="O54" s="7">
        <v>0</v>
      </c>
      <c r="P54" s="5" t="s">
        <v>21</v>
      </c>
      <c r="Q54" s="5" t="s">
        <v>22</v>
      </c>
      <c r="R54" s="8">
        <f t="shared" si="1"/>
        <v>119</v>
      </c>
    </row>
    <row r="55" spans="1:18" x14ac:dyDescent="0.2">
      <c r="A55" s="5" t="s">
        <v>46</v>
      </c>
      <c r="B55" s="5" t="s">
        <v>47</v>
      </c>
      <c r="C55" s="6">
        <v>45984</v>
      </c>
      <c r="D55" s="6"/>
      <c r="E55" s="7">
        <v>99.6</v>
      </c>
      <c r="F55" s="7">
        <v>99.6</v>
      </c>
      <c r="G55" s="7">
        <v>0</v>
      </c>
      <c r="H55" s="7">
        <v>0</v>
      </c>
      <c r="I55" s="7">
        <v>0</v>
      </c>
      <c r="J55" s="7">
        <v>0</v>
      </c>
      <c r="K55" s="7">
        <v>99.6</v>
      </c>
      <c r="L55" s="7">
        <v>0</v>
      </c>
      <c r="M55" s="7">
        <v>0</v>
      </c>
      <c r="N55" s="7">
        <v>0</v>
      </c>
      <c r="O55" s="7">
        <v>0</v>
      </c>
      <c r="P55" s="5" t="s">
        <v>21</v>
      </c>
      <c r="Q55" s="5" t="s">
        <v>22</v>
      </c>
      <c r="R55" s="8">
        <f t="shared" si="1"/>
        <v>304</v>
      </c>
    </row>
    <row r="56" spans="1:18" x14ac:dyDescent="0.2">
      <c r="A56" s="5" t="s">
        <v>89</v>
      </c>
      <c r="B56" s="5" t="s">
        <v>91</v>
      </c>
      <c r="C56" s="6">
        <v>46065</v>
      </c>
      <c r="D56" s="6"/>
      <c r="E56" s="7">
        <v>848.5</v>
      </c>
      <c r="F56" s="7">
        <v>848.5</v>
      </c>
      <c r="G56" s="7">
        <v>0</v>
      </c>
      <c r="H56" s="7">
        <v>0</v>
      </c>
      <c r="I56" s="7">
        <v>0</v>
      </c>
      <c r="J56" s="7">
        <v>0</v>
      </c>
      <c r="K56" s="7">
        <v>848.5</v>
      </c>
      <c r="L56" s="7">
        <v>0</v>
      </c>
      <c r="M56" s="7">
        <v>0</v>
      </c>
      <c r="N56" s="7">
        <v>0</v>
      </c>
      <c r="O56" s="7">
        <v>0</v>
      </c>
      <c r="P56" s="5" t="s">
        <v>21</v>
      </c>
      <c r="Q56" s="5" t="s">
        <v>22</v>
      </c>
      <c r="R56" s="8">
        <f t="shared" si="1"/>
        <v>223</v>
      </c>
    </row>
    <row r="57" spans="1:18" x14ac:dyDescent="0.2">
      <c r="A57" s="5" t="s">
        <v>89</v>
      </c>
      <c r="B57" s="5" t="s">
        <v>92</v>
      </c>
      <c r="C57" s="6">
        <v>45898</v>
      </c>
      <c r="D57" s="6">
        <f ca="1">TODAY()+23</f>
        <v>46338</v>
      </c>
      <c r="E57" s="7">
        <v>30.6</v>
      </c>
      <c r="F57" s="7">
        <v>30.6</v>
      </c>
      <c r="G57" s="7">
        <v>0</v>
      </c>
      <c r="H57" s="7">
        <v>0</v>
      </c>
      <c r="I57" s="7">
        <v>0</v>
      </c>
      <c r="J57" s="7">
        <v>0</v>
      </c>
      <c r="K57" s="7">
        <v>30.6</v>
      </c>
      <c r="L57" s="7">
        <v>0</v>
      </c>
      <c r="M57" s="7">
        <v>0</v>
      </c>
      <c r="N57" s="7">
        <v>0</v>
      </c>
      <c r="O57" s="7">
        <v>0</v>
      </c>
      <c r="P57" s="5" t="s">
        <v>21</v>
      </c>
      <c r="Q57" s="5" t="s">
        <v>25</v>
      </c>
      <c r="R57" s="8">
        <f t="shared" si="1"/>
        <v>390</v>
      </c>
    </row>
    <row r="58" spans="1:18" x14ac:dyDescent="0.2">
      <c r="A58" s="5" t="s">
        <v>93</v>
      </c>
      <c r="B58" s="5" t="s">
        <v>94</v>
      </c>
      <c r="C58" s="6">
        <v>46168</v>
      </c>
      <c r="D58" s="6"/>
      <c r="E58" s="7">
        <v>50</v>
      </c>
      <c r="F58" s="7">
        <v>50</v>
      </c>
      <c r="G58" s="7">
        <v>0</v>
      </c>
      <c r="H58" s="7">
        <v>0</v>
      </c>
      <c r="I58" s="7">
        <v>0</v>
      </c>
      <c r="J58" s="7">
        <v>0</v>
      </c>
      <c r="K58" s="7">
        <v>50</v>
      </c>
      <c r="L58" s="7">
        <v>0</v>
      </c>
      <c r="M58" s="7">
        <v>0</v>
      </c>
      <c r="N58" s="7">
        <v>0</v>
      </c>
      <c r="O58" s="7">
        <v>0</v>
      </c>
      <c r="P58" s="5" t="s">
        <v>21</v>
      </c>
      <c r="Q58" s="5" t="s">
        <v>22</v>
      </c>
      <c r="R58" s="8">
        <f t="shared" si="1"/>
        <v>120</v>
      </c>
    </row>
    <row r="59" spans="1:18" x14ac:dyDescent="0.2">
      <c r="A59" s="5" t="s">
        <v>85</v>
      </c>
      <c r="B59" s="5" t="s">
        <v>86</v>
      </c>
      <c r="C59" s="6">
        <v>45901</v>
      </c>
      <c r="D59" s="6"/>
      <c r="E59" s="7">
        <v>12.4</v>
      </c>
      <c r="F59" s="7">
        <v>12.4</v>
      </c>
      <c r="G59" s="7">
        <v>0</v>
      </c>
      <c r="H59" s="7">
        <v>0</v>
      </c>
      <c r="I59" s="7">
        <v>0</v>
      </c>
      <c r="J59" s="7">
        <v>0</v>
      </c>
      <c r="K59" s="7">
        <v>12.4</v>
      </c>
      <c r="L59" s="7">
        <v>0</v>
      </c>
      <c r="M59" s="7">
        <v>0</v>
      </c>
      <c r="N59" s="7">
        <v>0</v>
      </c>
      <c r="O59" s="7">
        <v>0</v>
      </c>
      <c r="P59" s="5" t="s">
        <v>21</v>
      </c>
      <c r="Q59" s="5" t="s">
        <v>22</v>
      </c>
      <c r="R59" s="8">
        <f t="shared" si="1"/>
        <v>387</v>
      </c>
    </row>
    <row r="60" spans="1:18" x14ac:dyDescent="0.2">
      <c r="A60" s="5" t="s">
        <v>95</v>
      </c>
      <c r="B60" s="5" t="s">
        <v>96</v>
      </c>
      <c r="C60" s="6">
        <v>46020</v>
      </c>
      <c r="D60" s="6"/>
      <c r="E60" s="7">
        <v>0.2</v>
      </c>
      <c r="F60" s="7">
        <v>0.2</v>
      </c>
      <c r="G60" s="7">
        <v>0</v>
      </c>
      <c r="H60" s="7">
        <v>0</v>
      </c>
      <c r="I60" s="7">
        <v>0</v>
      </c>
      <c r="J60" s="7">
        <v>0</v>
      </c>
      <c r="K60" s="7">
        <v>0.2</v>
      </c>
      <c r="L60" s="7">
        <v>0</v>
      </c>
      <c r="M60" s="7">
        <v>0</v>
      </c>
      <c r="N60" s="7">
        <v>0</v>
      </c>
      <c r="O60" s="7">
        <v>0</v>
      </c>
      <c r="P60" s="5" t="s">
        <v>21</v>
      </c>
      <c r="Q60" s="5" t="s">
        <v>22</v>
      </c>
      <c r="R60" s="8">
        <f t="shared" si="1"/>
        <v>268</v>
      </c>
    </row>
    <row r="61" spans="1:18" x14ac:dyDescent="0.2">
      <c r="A61" s="5" t="s">
        <v>95</v>
      </c>
      <c r="B61" s="5" t="s">
        <v>97</v>
      </c>
      <c r="C61" s="6">
        <v>45962</v>
      </c>
      <c r="D61" s="6">
        <f ca="1">TODAY()+62</f>
        <v>46377</v>
      </c>
      <c r="E61" s="7">
        <v>107</v>
      </c>
      <c r="F61" s="7">
        <v>107</v>
      </c>
      <c r="G61" s="7">
        <v>0</v>
      </c>
      <c r="H61" s="7">
        <v>0</v>
      </c>
      <c r="I61" s="7">
        <v>0</v>
      </c>
      <c r="J61" s="7">
        <v>0</v>
      </c>
      <c r="K61" s="7">
        <v>107</v>
      </c>
      <c r="L61" s="7">
        <v>0</v>
      </c>
      <c r="M61" s="7">
        <v>0</v>
      </c>
      <c r="N61" s="7">
        <v>0</v>
      </c>
      <c r="O61" s="7">
        <v>0</v>
      </c>
      <c r="P61" s="5" t="s">
        <v>21</v>
      </c>
      <c r="Q61" s="5" t="s">
        <v>25</v>
      </c>
      <c r="R61" s="8">
        <f t="shared" si="1"/>
        <v>326</v>
      </c>
    </row>
    <row r="62" spans="1:18" x14ac:dyDescent="0.2">
      <c r="A62" s="5" t="s">
        <v>98</v>
      </c>
      <c r="B62" s="5" t="s">
        <v>99</v>
      </c>
      <c r="C62" s="6">
        <v>46262</v>
      </c>
      <c r="D62" s="6">
        <f ca="1">TODAY()+18</f>
        <v>46333</v>
      </c>
      <c r="E62" s="7">
        <v>357</v>
      </c>
      <c r="F62" s="7">
        <v>0</v>
      </c>
      <c r="G62" s="7">
        <v>357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357</v>
      </c>
      <c r="P62" s="5" t="s">
        <v>21</v>
      </c>
      <c r="Q62" s="5" t="s">
        <v>25</v>
      </c>
      <c r="R62" s="8">
        <f t="shared" si="1"/>
        <v>26</v>
      </c>
    </row>
    <row r="63" spans="1:18" x14ac:dyDescent="0.2">
      <c r="A63" s="5" t="s">
        <v>98</v>
      </c>
      <c r="B63" s="5" t="s">
        <v>100</v>
      </c>
      <c r="C63" s="6">
        <v>46165</v>
      </c>
      <c r="D63" s="6"/>
      <c r="E63" s="7">
        <v>3362.32</v>
      </c>
      <c r="F63" s="7">
        <v>3362.32</v>
      </c>
      <c r="G63" s="7">
        <v>0</v>
      </c>
      <c r="H63" s="7">
        <v>0</v>
      </c>
      <c r="I63" s="7">
        <v>0</v>
      </c>
      <c r="J63" s="7">
        <v>0</v>
      </c>
      <c r="K63" s="7">
        <v>3362.32</v>
      </c>
      <c r="L63" s="7">
        <v>0</v>
      </c>
      <c r="M63" s="7">
        <v>0</v>
      </c>
      <c r="N63" s="7">
        <v>0</v>
      </c>
      <c r="O63" s="7">
        <v>0</v>
      </c>
      <c r="P63" s="5" t="s">
        <v>21</v>
      </c>
      <c r="Q63" s="5" t="s">
        <v>22</v>
      </c>
      <c r="R63" s="8">
        <f t="shared" si="1"/>
        <v>123</v>
      </c>
    </row>
    <row r="64" spans="1:18" x14ac:dyDescent="0.2">
      <c r="A64" s="5" t="s">
        <v>101</v>
      </c>
      <c r="B64" s="5" t="s">
        <v>102</v>
      </c>
      <c r="C64" s="6">
        <v>45901</v>
      </c>
      <c r="D64" s="6"/>
      <c r="E64" s="7">
        <v>15.2</v>
      </c>
      <c r="F64" s="7">
        <v>15.2</v>
      </c>
      <c r="G64" s="7">
        <v>0</v>
      </c>
      <c r="H64" s="7">
        <v>0</v>
      </c>
      <c r="I64" s="7">
        <v>0</v>
      </c>
      <c r="J64" s="7">
        <v>0</v>
      </c>
      <c r="K64" s="7">
        <v>15.2</v>
      </c>
      <c r="L64" s="7">
        <v>0</v>
      </c>
      <c r="M64" s="7">
        <v>0</v>
      </c>
      <c r="N64" s="7">
        <v>0</v>
      </c>
      <c r="O64" s="7">
        <v>0</v>
      </c>
      <c r="P64" s="5" t="s">
        <v>21</v>
      </c>
      <c r="Q64" s="5" t="s">
        <v>22</v>
      </c>
      <c r="R64" s="8">
        <f t="shared" si="1"/>
        <v>387</v>
      </c>
    </row>
    <row r="65" spans="1:18" x14ac:dyDescent="0.2">
      <c r="A65" s="5" t="s">
        <v>103</v>
      </c>
      <c r="B65" s="5" t="s">
        <v>104</v>
      </c>
      <c r="C65" s="6">
        <v>45917</v>
      </c>
      <c r="D65" s="6">
        <f ca="1">TODAY()+36</f>
        <v>46351</v>
      </c>
      <c r="E65" s="7">
        <v>116</v>
      </c>
      <c r="F65" s="7">
        <v>116</v>
      </c>
      <c r="G65" s="7">
        <v>0</v>
      </c>
      <c r="H65" s="7">
        <v>0</v>
      </c>
      <c r="I65" s="7">
        <v>0</v>
      </c>
      <c r="J65" s="7">
        <v>0</v>
      </c>
      <c r="K65" s="7">
        <v>116</v>
      </c>
      <c r="L65" s="7">
        <v>0</v>
      </c>
      <c r="M65" s="7">
        <v>0</v>
      </c>
      <c r="N65" s="7">
        <v>0</v>
      </c>
      <c r="O65" s="7">
        <v>0</v>
      </c>
      <c r="P65" s="5" t="s">
        <v>21</v>
      </c>
      <c r="Q65" s="5" t="s">
        <v>25</v>
      </c>
      <c r="R65" s="8">
        <f t="shared" si="1"/>
        <v>371</v>
      </c>
    </row>
    <row r="66" spans="1:18" x14ac:dyDescent="0.2">
      <c r="A66" s="5" t="s">
        <v>89</v>
      </c>
      <c r="B66" s="5" t="s">
        <v>90</v>
      </c>
      <c r="C66" s="6">
        <v>46169</v>
      </c>
      <c r="D66" s="6"/>
      <c r="E66" s="7">
        <v>30</v>
      </c>
      <c r="F66" s="7">
        <v>30</v>
      </c>
      <c r="G66" s="7">
        <v>0</v>
      </c>
      <c r="H66" s="7">
        <v>0</v>
      </c>
      <c r="I66" s="7">
        <v>0</v>
      </c>
      <c r="J66" s="7">
        <v>0</v>
      </c>
      <c r="K66" s="7">
        <v>30</v>
      </c>
      <c r="L66" s="7">
        <v>0</v>
      </c>
      <c r="M66" s="7">
        <v>0</v>
      </c>
      <c r="N66" s="7">
        <v>0</v>
      </c>
      <c r="O66" s="7">
        <v>0</v>
      </c>
      <c r="P66" s="5" t="s">
        <v>21</v>
      </c>
      <c r="Q66" s="5" t="s">
        <v>22</v>
      </c>
      <c r="R66" s="8">
        <f t="shared" ref="R66:R97" si="2">DATE(2026,9,23)-C66</f>
        <v>119</v>
      </c>
    </row>
    <row r="67" spans="1:18" x14ac:dyDescent="0.2">
      <c r="A67" s="5" t="s">
        <v>105</v>
      </c>
      <c r="B67" s="5" t="s">
        <v>106</v>
      </c>
      <c r="C67" s="6">
        <v>46029</v>
      </c>
      <c r="D67" s="6"/>
      <c r="E67" s="7">
        <v>21.8</v>
      </c>
      <c r="F67" s="7">
        <v>21.8</v>
      </c>
      <c r="G67" s="7">
        <v>0</v>
      </c>
      <c r="H67" s="7">
        <v>0</v>
      </c>
      <c r="I67" s="7">
        <v>0</v>
      </c>
      <c r="J67" s="7">
        <v>0</v>
      </c>
      <c r="K67" s="7">
        <v>21.8</v>
      </c>
      <c r="L67" s="7">
        <v>0</v>
      </c>
      <c r="M67" s="7">
        <v>0</v>
      </c>
      <c r="N67" s="7">
        <v>0</v>
      </c>
      <c r="O67" s="7">
        <v>0</v>
      </c>
      <c r="P67" s="5" t="s">
        <v>21</v>
      </c>
      <c r="Q67" s="5" t="s">
        <v>22</v>
      </c>
      <c r="R67" s="8">
        <f t="shared" si="2"/>
        <v>259</v>
      </c>
    </row>
    <row r="68" spans="1:18" x14ac:dyDescent="0.2">
      <c r="A68" s="5" t="s">
        <v>105</v>
      </c>
      <c r="B68" s="5" t="s">
        <v>107</v>
      </c>
      <c r="C68" s="6">
        <v>45907</v>
      </c>
      <c r="D68" s="6"/>
      <c r="E68" s="7">
        <v>88</v>
      </c>
      <c r="F68" s="7">
        <v>88</v>
      </c>
      <c r="G68" s="7">
        <v>0</v>
      </c>
      <c r="H68" s="7">
        <v>0</v>
      </c>
      <c r="I68" s="7">
        <v>0</v>
      </c>
      <c r="J68" s="7">
        <v>0</v>
      </c>
      <c r="K68" s="7">
        <v>88</v>
      </c>
      <c r="L68" s="7">
        <v>0</v>
      </c>
      <c r="M68" s="7">
        <v>0</v>
      </c>
      <c r="N68" s="7">
        <v>0</v>
      </c>
      <c r="O68" s="7">
        <v>0</v>
      </c>
      <c r="P68" s="5" t="s">
        <v>21</v>
      </c>
      <c r="Q68" s="5" t="s">
        <v>22</v>
      </c>
      <c r="R68" s="8">
        <f t="shared" si="2"/>
        <v>381</v>
      </c>
    </row>
    <row r="69" spans="1:18" x14ac:dyDescent="0.2">
      <c r="A69" s="5" t="s">
        <v>108</v>
      </c>
      <c r="B69" s="5" t="s">
        <v>109</v>
      </c>
      <c r="C69" s="6">
        <v>45925</v>
      </c>
      <c r="D69" s="6">
        <f ca="1">TODAY()+70</f>
        <v>46385</v>
      </c>
      <c r="E69" s="7">
        <v>50</v>
      </c>
      <c r="F69" s="7">
        <v>50</v>
      </c>
      <c r="G69" s="7">
        <v>0</v>
      </c>
      <c r="H69" s="7">
        <v>0</v>
      </c>
      <c r="I69" s="7">
        <v>0</v>
      </c>
      <c r="J69" s="7">
        <v>0</v>
      </c>
      <c r="K69" s="7">
        <v>50</v>
      </c>
      <c r="L69" s="7">
        <v>0</v>
      </c>
      <c r="M69" s="7">
        <v>0</v>
      </c>
      <c r="N69" s="7">
        <v>0</v>
      </c>
      <c r="O69" s="7">
        <v>0</v>
      </c>
      <c r="P69" s="5" t="s">
        <v>21</v>
      </c>
      <c r="Q69" s="5" t="s">
        <v>25</v>
      </c>
      <c r="R69" s="8">
        <f t="shared" si="2"/>
        <v>363</v>
      </c>
    </row>
    <row r="70" spans="1:18" x14ac:dyDescent="0.2">
      <c r="A70" s="5" t="s">
        <v>110</v>
      </c>
      <c r="B70" s="5" t="s">
        <v>111</v>
      </c>
      <c r="C70" s="6">
        <v>46056</v>
      </c>
      <c r="D70" s="6">
        <f ca="1">TODAY()+31</f>
        <v>46346</v>
      </c>
      <c r="E70" s="7">
        <v>20.8</v>
      </c>
      <c r="F70" s="7">
        <v>20.8</v>
      </c>
      <c r="G70" s="7">
        <v>0</v>
      </c>
      <c r="H70" s="7">
        <v>0</v>
      </c>
      <c r="I70" s="7">
        <v>0</v>
      </c>
      <c r="J70" s="7">
        <v>0</v>
      </c>
      <c r="K70" s="7">
        <v>20.8</v>
      </c>
      <c r="L70" s="7">
        <v>0</v>
      </c>
      <c r="M70" s="7">
        <v>0</v>
      </c>
      <c r="N70" s="7">
        <v>0</v>
      </c>
      <c r="O70" s="7">
        <v>0</v>
      </c>
      <c r="P70" s="5" t="s">
        <v>21</v>
      </c>
      <c r="Q70" s="5" t="s">
        <v>25</v>
      </c>
      <c r="R70" s="8">
        <f t="shared" si="2"/>
        <v>232</v>
      </c>
    </row>
    <row r="71" spans="1:18" x14ac:dyDescent="0.2">
      <c r="A71" s="5" t="s">
        <v>110</v>
      </c>
      <c r="B71" s="5" t="s">
        <v>112</v>
      </c>
      <c r="C71" s="6">
        <v>46010</v>
      </c>
      <c r="D71" s="6"/>
      <c r="E71" s="7">
        <v>109</v>
      </c>
      <c r="F71" s="7">
        <v>109</v>
      </c>
      <c r="G71" s="7">
        <v>0</v>
      </c>
      <c r="H71" s="7">
        <v>0</v>
      </c>
      <c r="I71" s="7">
        <v>0</v>
      </c>
      <c r="J71" s="7">
        <v>0</v>
      </c>
      <c r="K71" s="7">
        <v>109</v>
      </c>
      <c r="L71" s="7">
        <v>0</v>
      </c>
      <c r="M71" s="7">
        <v>0</v>
      </c>
      <c r="N71" s="7">
        <v>0</v>
      </c>
      <c r="O71" s="7">
        <v>0</v>
      </c>
      <c r="P71" s="5" t="s">
        <v>21</v>
      </c>
      <c r="Q71" s="5" t="s">
        <v>22</v>
      </c>
      <c r="R71" s="8">
        <f t="shared" si="2"/>
        <v>278</v>
      </c>
    </row>
    <row r="72" spans="1:18" x14ac:dyDescent="0.2">
      <c r="A72" s="5" t="s">
        <v>59</v>
      </c>
      <c r="B72" s="5" t="s">
        <v>60</v>
      </c>
      <c r="C72" s="6">
        <v>46079</v>
      </c>
      <c r="D72" s="6">
        <f ca="1">TODAY()+10</f>
        <v>46325</v>
      </c>
      <c r="E72" s="7">
        <v>311</v>
      </c>
      <c r="F72" s="7">
        <v>90</v>
      </c>
      <c r="G72" s="7">
        <v>221</v>
      </c>
      <c r="H72" s="7">
        <v>0</v>
      </c>
      <c r="I72" s="7">
        <v>0</v>
      </c>
      <c r="J72" s="7">
        <v>0</v>
      </c>
      <c r="K72" s="7">
        <v>90</v>
      </c>
      <c r="L72" s="7">
        <v>0</v>
      </c>
      <c r="M72" s="7">
        <v>0</v>
      </c>
      <c r="N72" s="7">
        <v>0</v>
      </c>
      <c r="O72" s="7">
        <v>221</v>
      </c>
      <c r="P72" s="5" t="s">
        <v>21</v>
      </c>
      <c r="Q72" s="5" t="s">
        <v>25</v>
      </c>
      <c r="R72" s="8">
        <f t="shared" si="2"/>
        <v>209</v>
      </c>
    </row>
    <row r="73" spans="1:18" x14ac:dyDescent="0.2">
      <c r="A73" s="5" t="s">
        <v>42</v>
      </c>
      <c r="B73" s="5" t="s">
        <v>43</v>
      </c>
      <c r="C73" s="6">
        <v>46152</v>
      </c>
      <c r="D73" s="6"/>
      <c r="E73" s="7">
        <v>61.2</v>
      </c>
      <c r="F73" s="7">
        <v>61.2</v>
      </c>
      <c r="G73" s="7">
        <v>0</v>
      </c>
      <c r="H73" s="7">
        <v>0</v>
      </c>
      <c r="I73" s="7">
        <v>0</v>
      </c>
      <c r="J73" s="7">
        <v>0</v>
      </c>
      <c r="K73" s="7">
        <v>61.2</v>
      </c>
      <c r="L73" s="7">
        <v>0</v>
      </c>
      <c r="M73" s="7">
        <v>0</v>
      </c>
      <c r="N73" s="7">
        <v>0</v>
      </c>
      <c r="O73" s="7">
        <v>0</v>
      </c>
      <c r="P73" s="5" t="s">
        <v>21</v>
      </c>
      <c r="Q73" s="5" t="s">
        <v>22</v>
      </c>
      <c r="R73" s="8">
        <f t="shared" si="2"/>
        <v>136</v>
      </c>
    </row>
    <row r="74" spans="1:18" x14ac:dyDescent="0.2">
      <c r="A74" s="5" t="s">
        <v>113</v>
      </c>
      <c r="B74" s="5" t="s">
        <v>114</v>
      </c>
      <c r="C74" s="6">
        <v>45986</v>
      </c>
      <c r="D74" s="6"/>
      <c r="E74" s="7">
        <v>124.8</v>
      </c>
      <c r="F74" s="7">
        <v>124.8</v>
      </c>
      <c r="G74" s="7">
        <v>0</v>
      </c>
      <c r="H74" s="7">
        <v>0</v>
      </c>
      <c r="I74" s="7">
        <v>0</v>
      </c>
      <c r="J74" s="7">
        <v>0</v>
      </c>
      <c r="K74" s="7">
        <v>124.8</v>
      </c>
      <c r="L74" s="7">
        <v>0</v>
      </c>
      <c r="M74" s="7">
        <v>0</v>
      </c>
      <c r="N74" s="7">
        <v>0</v>
      </c>
      <c r="O74" s="7">
        <v>0</v>
      </c>
      <c r="P74" s="5" t="s">
        <v>21</v>
      </c>
      <c r="Q74" s="5" t="s">
        <v>22</v>
      </c>
      <c r="R74" s="8">
        <f t="shared" si="2"/>
        <v>302</v>
      </c>
    </row>
    <row r="75" spans="1:18" x14ac:dyDescent="0.2">
      <c r="A75" s="5" t="s">
        <v>113</v>
      </c>
      <c r="B75" s="5" t="s">
        <v>115</v>
      </c>
      <c r="C75" s="6">
        <v>45942</v>
      </c>
      <c r="D75" s="6">
        <f ca="1">TODAY()+23</f>
        <v>46338</v>
      </c>
      <c r="E75" s="7">
        <v>208</v>
      </c>
      <c r="F75" s="7">
        <v>208</v>
      </c>
      <c r="G75" s="7">
        <v>0</v>
      </c>
      <c r="H75" s="7">
        <v>0</v>
      </c>
      <c r="I75" s="7">
        <v>0</v>
      </c>
      <c r="J75" s="7">
        <v>0</v>
      </c>
      <c r="K75" s="7">
        <v>208</v>
      </c>
      <c r="L75" s="7">
        <v>0</v>
      </c>
      <c r="M75" s="7">
        <v>0</v>
      </c>
      <c r="N75" s="7">
        <v>0</v>
      </c>
      <c r="O75" s="7">
        <v>0</v>
      </c>
      <c r="P75" s="5" t="s">
        <v>21</v>
      </c>
      <c r="Q75" s="5" t="s">
        <v>25</v>
      </c>
      <c r="R75" s="8">
        <f t="shared" si="2"/>
        <v>346</v>
      </c>
    </row>
    <row r="76" spans="1:18" x14ac:dyDescent="0.2">
      <c r="A76" s="5" t="s">
        <v>116</v>
      </c>
      <c r="B76" s="5" t="s">
        <v>117</v>
      </c>
      <c r="C76" s="6">
        <v>46090</v>
      </c>
      <c r="D76" s="6">
        <f ca="1">TODAY()+17</f>
        <v>46332</v>
      </c>
      <c r="E76" s="7">
        <v>30</v>
      </c>
      <c r="F76" s="7">
        <v>30</v>
      </c>
      <c r="G76" s="7">
        <v>0</v>
      </c>
      <c r="H76" s="7">
        <v>0</v>
      </c>
      <c r="I76" s="7">
        <v>0</v>
      </c>
      <c r="J76" s="7">
        <v>0</v>
      </c>
      <c r="K76" s="7">
        <v>30</v>
      </c>
      <c r="L76" s="7">
        <v>0</v>
      </c>
      <c r="M76" s="7">
        <v>0</v>
      </c>
      <c r="N76" s="7">
        <v>0</v>
      </c>
      <c r="O76" s="7">
        <v>0</v>
      </c>
      <c r="P76" s="5" t="s">
        <v>21</v>
      </c>
      <c r="Q76" s="5" t="s">
        <v>25</v>
      </c>
      <c r="R76" s="8">
        <f t="shared" si="2"/>
        <v>198</v>
      </c>
    </row>
    <row r="77" spans="1:18" x14ac:dyDescent="0.2">
      <c r="A77" s="5" t="s">
        <v>118</v>
      </c>
      <c r="B77" s="5" t="s">
        <v>119</v>
      </c>
      <c r="C77" s="6">
        <v>45925</v>
      </c>
      <c r="D77" s="6">
        <f ca="1">TODAY()+42</f>
        <v>46357</v>
      </c>
      <c r="E77" s="7">
        <v>3180</v>
      </c>
      <c r="F77" s="7">
        <v>3180</v>
      </c>
      <c r="G77" s="7">
        <v>0</v>
      </c>
      <c r="H77" s="7">
        <v>0</v>
      </c>
      <c r="I77" s="7">
        <v>0</v>
      </c>
      <c r="J77" s="7">
        <v>0</v>
      </c>
      <c r="K77" s="7">
        <v>3180</v>
      </c>
      <c r="L77" s="7">
        <v>0</v>
      </c>
      <c r="M77" s="7">
        <v>0</v>
      </c>
      <c r="N77" s="7">
        <v>0</v>
      </c>
      <c r="O77" s="7">
        <v>0</v>
      </c>
      <c r="P77" s="5" t="s">
        <v>21</v>
      </c>
      <c r="Q77" s="5" t="s">
        <v>25</v>
      </c>
      <c r="R77" s="8">
        <f t="shared" si="2"/>
        <v>363</v>
      </c>
    </row>
    <row r="78" spans="1:18" x14ac:dyDescent="0.2">
      <c r="A78" s="5" t="s">
        <v>120</v>
      </c>
      <c r="B78" s="5" t="s">
        <v>121</v>
      </c>
      <c r="C78" s="6">
        <v>46098</v>
      </c>
      <c r="D78" s="6"/>
      <c r="E78" s="7">
        <v>72.400000000000006</v>
      </c>
      <c r="F78" s="7">
        <v>72.400000000000006</v>
      </c>
      <c r="G78" s="7">
        <v>0</v>
      </c>
      <c r="H78" s="7">
        <v>0</v>
      </c>
      <c r="I78" s="7">
        <v>0</v>
      </c>
      <c r="J78" s="7">
        <v>0</v>
      </c>
      <c r="K78" s="7">
        <v>72.400000000000006</v>
      </c>
      <c r="L78" s="7">
        <v>0</v>
      </c>
      <c r="M78" s="7">
        <v>0</v>
      </c>
      <c r="N78" s="7">
        <v>0</v>
      </c>
      <c r="O78" s="7">
        <v>0</v>
      </c>
      <c r="P78" s="5" t="s">
        <v>21</v>
      </c>
      <c r="Q78" s="5" t="s">
        <v>22</v>
      </c>
      <c r="R78" s="8">
        <f t="shared" si="2"/>
        <v>190</v>
      </c>
    </row>
    <row r="79" spans="1:18" x14ac:dyDescent="0.2">
      <c r="A79" s="5" t="s">
        <v>85</v>
      </c>
      <c r="B79" s="5" t="s">
        <v>86</v>
      </c>
      <c r="C79" s="6">
        <v>45901</v>
      </c>
      <c r="D79" s="6"/>
      <c r="E79" s="7">
        <v>17</v>
      </c>
      <c r="F79" s="7">
        <v>17</v>
      </c>
      <c r="G79" s="7">
        <v>0</v>
      </c>
      <c r="H79" s="7">
        <v>0</v>
      </c>
      <c r="I79" s="7">
        <v>0</v>
      </c>
      <c r="J79" s="7">
        <v>0</v>
      </c>
      <c r="K79" s="7">
        <v>17</v>
      </c>
      <c r="L79" s="7">
        <v>0</v>
      </c>
      <c r="M79" s="7">
        <v>0</v>
      </c>
      <c r="N79" s="7">
        <v>0</v>
      </c>
      <c r="O79" s="7">
        <v>0</v>
      </c>
      <c r="P79" s="5" t="s">
        <v>21</v>
      </c>
      <c r="Q79" s="5" t="s">
        <v>22</v>
      </c>
      <c r="R79" s="8">
        <f t="shared" si="2"/>
        <v>387</v>
      </c>
    </row>
    <row r="80" spans="1:18" x14ac:dyDescent="0.2">
      <c r="A80" s="5" t="s">
        <v>122</v>
      </c>
      <c r="B80" s="5" t="s">
        <v>123</v>
      </c>
      <c r="C80" s="6">
        <v>46010</v>
      </c>
      <c r="D80" s="6"/>
      <c r="E80" s="7">
        <v>82</v>
      </c>
      <c r="F80" s="7">
        <v>82</v>
      </c>
      <c r="G80" s="7">
        <v>0</v>
      </c>
      <c r="H80" s="7">
        <v>0</v>
      </c>
      <c r="I80" s="7">
        <v>0</v>
      </c>
      <c r="J80" s="7">
        <v>0</v>
      </c>
      <c r="K80" s="7">
        <v>82</v>
      </c>
      <c r="L80" s="7">
        <v>0</v>
      </c>
      <c r="M80" s="7">
        <v>0</v>
      </c>
      <c r="N80" s="7">
        <v>0</v>
      </c>
      <c r="O80" s="7">
        <v>0</v>
      </c>
      <c r="P80" s="5" t="s">
        <v>21</v>
      </c>
      <c r="Q80" s="5" t="s">
        <v>22</v>
      </c>
      <c r="R80" s="8">
        <f t="shared" si="2"/>
        <v>278</v>
      </c>
    </row>
    <row r="81" spans="1:18" x14ac:dyDescent="0.2">
      <c r="A81" s="5" t="s">
        <v>122</v>
      </c>
      <c r="B81" s="5" t="s">
        <v>124</v>
      </c>
      <c r="C81" s="6">
        <v>45938</v>
      </c>
      <c r="D81" s="6"/>
      <c r="E81" s="7">
        <v>50</v>
      </c>
      <c r="F81" s="7">
        <v>50</v>
      </c>
      <c r="G81" s="7">
        <v>0</v>
      </c>
      <c r="H81" s="7">
        <v>0</v>
      </c>
      <c r="I81" s="7">
        <v>0</v>
      </c>
      <c r="J81" s="7">
        <v>0</v>
      </c>
      <c r="K81" s="7">
        <v>50</v>
      </c>
      <c r="L81" s="7">
        <v>0</v>
      </c>
      <c r="M81" s="7">
        <v>0</v>
      </c>
      <c r="N81" s="7">
        <v>0</v>
      </c>
      <c r="O81" s="7">
        <v>0</v>
      </c>
      <c r="P81" s="5" t="s">
        <v>21</v>
      </c>
      <c r="Q81" s="5" t="s">
        <v>22</v>
      </c>
      <c r="R81" s="8">
        <f t="shared" si="2"/>
        <v>350</v>
      </c>
    </row>
    <row r="82" spans="1:18" x14ac:dyDescent="0.2">
      <c r="A82" s="5" t="s">
        <v>125</v>
      </c>
      <c r="B82" s="5" t="s">
        <v>126</v>
      </c>
      <c r="C82" s="6">
        <v>45939</v>
      </c>
      <c r="D82" s="6"/>
      <c r="E82" s="7">
        <v>68.599999999999994</v>
      </c>
      <c r="F82" s="7">
        <v>68.599999999999994</v>
      </c>
      <c r="G82" s="7">
        <v>0</v>
      </c>
      <c r="H82" s="7">
        <v>0</v>
      </c>
      <c r="I82" s="7">
        <v>0</v>
      </c>
      <c r="J82" s="7">
        <v>0</v>
      </c>
      <c r="K82" s="7">
        <v>68.599999999999994</v>
      </c>
      <c r="L82" s="7">
        <v>0</v>
      </c>
      <c r="M82" s="7">
        <v>0</v>
      </c>
      <c r="N82" s="7">
        <v>0</v>
      </c>
      <c r="O82" s="7">
        <v>0</v>
      </c>
      <c r="P82" s="5" t="s">
        <v>21</v>
      </c>
      <c r="Q82" s="5" t="s">
        <v>22</v>
      </c>
      <c r="R82" s="8">
        <f t="shared" si="2"/>
        <v>349</v>
      </c>
    </row>
    <row r="83" spans="1:18" x14ac:dyDescent="0.2">
      <c r="A83" s="5" t="s">
        <v>127</v>
      </c>
      <c r="B83" s="5" t="s">
        <v>128</v>
      </c>
      <c r="C83" s="6">
        <v>46058</v>
      </c>
      <c r="D83" s="6"/>
      <c r="E83" s="7">
        <v>68.599999999999994</v>
      </c>
      <c r="F83" s="7">
        <v>68.599999999999994</v>
      </c>
      <c r="G83" s="7">
        <v>0</v>
      </c>
      <c r="H83" s="7">
        <v>0</v>
      </c>
      <c r="I83" s="7">
        <v>0</v>
      </c>
      <c r="J83" s="7">
        <v>0</v>
      </c>
      <c r="K83" s="7">
        <v>68.599999999999994</v>
      </c>
      <c r="L83" s="7">
        <v>0</v>
      </c>
      <c r="M83" s="7">
        <v>0</v>
      </c>
      <c r="N83" s="7">
        <v>0</v>
      </c>
      <c r="O83" s="7">
        <v>0</v>
      </c>
      <c r="P83" s="5" t="s">
        <v>21</v>
      </c>
      <c r="Q83" s="5" t="s">
        <v>22</v>
      </c>
      <c r="R83" s="8">
        <f t="shared" si="2"/>
        <v>230</v>
      </c>
    </row>
    <row r="84" spans="1:18" x14ac:dyDescent="0.2">
      <c r="A84" s="5" t="s">
        <v>129</v>
      </c>
      <c r="B84" s="5" t="s">
        <v>130</v>
      </c>
      <c r="C84" s="6">
        <v>45938</v>
      </c>
      <c r="D84" s="6"/>
      <c r="E84" s="7">
        <v>339</v>
      </c>
      <c r="F84" s="7">
        <v>339</v>
      </c>
      <c r="G84" s="7">
        <v>0</v>
      </c>
      <c r="H84" s="7">
        <v>0</v>
      </c>
      <c r="I84" s="7">
        <v>0</v>
      </c>
      <c r="J84" s="7">
        <v>0</v>
      </c>
      <c r="K84" s="7">
        <v>339</v>
      </c>
      <c r="L84" s="7">
        <v>0</v>
      </c>
      <c r="M84" s="7">
        <v>0</v>
      </c>
      <c r="N84" s="7">
        <v>0</v>
      </c>
      <c r="O84" s="7">
        <v>0</v>
      </c>
      <c r="P84" s="5" t="s">
        <v>21</v>
      </c>
      <c r="Q84" s="5" t="s">
        <v>22</v>
      </c>
      <c r="R84" s="8">
        <f t="shared" si="2"/>
        <v>350</v>
      </c>
    </row>
    <row r="85" spans="1:18" x14ac:dyDescent="0.2">
      <c r="A85" s="5" t="s">
        <v>131</v>
      </c>
      <c r="B85" s="5" t="s">
        <v>132</v>
      </c>
      <c r="C85" s="6">
        <v>46005</v>
      </c>
      <c r="D85" s="6">
        <f ca="1">TODAY()+37</f>
        <v>46352</v>
      </c>
      <c r="E85" s="7">
        <v>208</v>
      </c>
      <c r="F85" s="7">
        <v>208</v>
      </c>
      <c r="G85" s="7">
        <v>0</v>
      </c>
      <c r="H85" s="7">
        <v>0</v>
      </c>
      <c r="I85" s="7">
        <v>0</v>
      </c>
      <c r="J85" s="7">
        <v>0</v>
      </c>
      <c r="K85" s="7">
        <v>208</v>
      </c>
      <c r="L85" s="7">
        <v>0</v>
      </c>
      <c r="M85" s="7">
        <v>0</v>
      </c>
      <c r="N85" s="7">
        <v>0</v>
      </c>
      <c r="O85" s="7">
        <v>0</v>
      </c>
      <c r="P85" s="5" t="s">
        <v>21</v>
      </c>
      <c r="Q85" s="5" t="s">
        <v>25</v>
      </c>
      <c r="R85" s="8">
        <f t="shared" si="2"/>
        <v>283</v>
      </c>
    </row>
    <row r="86" spans="1:18" x14ac:dyDescent="0.2">
      <c r="A86" s="5" t="s">
        <v>133</v>
      </c>
      <c r="B86" s="5" t="s">
        <v>134</v>
      </c>
      <c r="C86" s="6">
        <v>45911</v>
      </c>
      <c r="D86" s="6"/>
      <c r="E86" s="7">
        <v>21.2</v>
      </c>
      <c r="F86" s="7">
        <v>21.2</v>
      </c>
      <c r="G86" s="7">
        <v>0</v>
      </c>
      <c r="H86" s="7">
        <v>0</v>
      </c>
      <c r="I86" s="7">
        <v>0</v>
      </c>
      <c r="J86" s="7">
        <v>0</v>
      </c>
      <c r="K86" s="7">
        <v>21.2</v>
      </c>
      <c r="L86" s="7">
        <v>0</v>
      </c>
      <c r="M86" s="7">
        <v>0</v>
      </c>
      <c r="N86" s="7">
        <v>0</v>
      </c>
      <c r="O86" s="7">
        <v>0</v>
      </c>
      <c r="P86" s="5" t="s">
        <v>21</v>
      </c>
      <c r="Q86" s="5" t="s">
        <v>22</v>
      </c>
      <c r="R86" s="8">
        <f t="shared" si="2"/>
        <v>377</v>
      </c>
    </row>
    <row r="87" spans="1:18" x14ac:dyDescent="0.2">
      <c r="A87" s="5" t="s">
        <v>135</v>
      </c>
      <c r="B87" s="5" t="s">
        <v>136</v>
      </c>
      <c r="C87" s="6">
        <v>45896</v>
      </c>
      <c r="D87" s="6">
        <f ca="1">TODAY()+10</f>
        <v>46325</v>
      </c>
      <c r="E87" s="7">
        <v>10.5</v>
      </c>
      <c r="F87" s="7">
        <v>10.5</v>
      </c>
      <c r="G87" s="7">
        <v>0</v>
      </c>
      <c r="H87" s="7">
        <v>0</v>
      </c>
      <c r="I87" s="7">
        <v>0</v>
      </c>
      <c r="J87" s="7">
        <v>0</v>
      </c>
      <c r="K87" s="7">
        <v>10.5</v>
      </c>
      <c r="L87" s="7">
        <v>0</v>
      </c>
      <c r="M87" s="7">
        <v>0</v>
      </c>
      <c r="N87" s="7">
        <v>0</v>
      </c>
      <c r="O87" s="7">
        <v>0</v>
      </c>
      <c r="P87" s="5" t="s">
        <v>21</v>
      </c>
      <c r="Q87" s="5" t="s">
        <v>25</v>
      </c>
      <c r="R87" s="8">
        <f t="shared" si="2"/>
        <v>392</v>
      </c>
    </row>
    <row r="88" spans="1:18" x14ac:dyDescent="0.2">
      <c r="A88" s="5" t="s">
        <v>137</v>
      </c>
      <c r="B88" s="5" t="s">
        <v>138</v>
      </c>
      <c r="C88" s="6">
        <v>45942</v>
      </c>
      <c r="D88" s="6"/>
      <c r="E88" s="7">
        <v>54</v>
      </c>
      <c r="F88" s="7">
        <v>54</v>
      </c>
      <c r="G88" s="7">
        <v>0</v>
      </c>
      <c r="H88" s="7">
        <v>0</v>
      </c>
      <c r="I88" s="7">
        <v>0</v>
      </c>
      <c r="J88" s="7">
        <v>0</v>
      </c>
      <c r="K88" s="7">
        <v>54</v>
      </c>
      <c r="L88" s="7">
        <v>0</v>
      </c>
      <c r="M88" s="7">
        <v>0</v>
      </c>
      <c r="N88" s="7">
        <v>0</v>
      </c>
      <c r="O88" s="7">
        <v>0</v>
      </c>
      <c r="P88" s="5" t="s">
        <v>21</v>
      </c>
      <c r="Q88" s="5" t="s">
        <v>22</v>
      </c>
      <c r="R88" s="8">
        <f t="shared" si="2"/>
        <v>346</v>
      </c>
    </row>
    <row r="89" spans="1:18" x14ac:dyDescent="0.2">
      <c r="A89" s="5" t="s">
        <v>139</v>
      </c>
      <c r="B89" s="5" t="s">
        <v>140</v>
      </c>
      <c r="C89" s="6">
        <v>46046</v>
      </c>
      <c r="D89" s="6"/>
      <c r="E89" s="7">
        <v>22</v>
      </c>
      <c r="F89" s="7">
        <v>22</v>
      </c>
      <c r="G89" s="7">
        <v>0</v>
      </c>
      <c r="H89" s="7">
        <v>0</v>
      </c>
      <c r="I89" s="7">
        <v>0</v>
      </c>
      <c r="J89" s="7">
        <v>0</v>
      </c>
      <c r="K89" s="7">
        <v>22</v>
      </c>
      <c r="L89" s="7">
        <v>0</v>
      </c>
      <c r="M89" s="7">
        <v>0</v>
      </c>
      <c r="N89" s="7">
        <v>0</v>
      </c>
      <c r="O89" s="7">
        <v>0</v>
      </c>
      <c r="P89" s="5" t="s">
        <v>21</v>
      </c>
      <c r="Q89" s="5" t="s">
        <v>22</v>
      </c>
      <c r="R89" s="8">
        <f t="shared" si="2"/>
        <v>242</v>
      </c>
    </row>
    <row r="90" spans="1:18" x14ac:dyDescent="0.2">
      <c r="A90" s="5" t="s">
        <v>139</v>
      </c>
      <c r="B90" s="5" t="s">
        <v>141</v>
      </c>
      <c r="C90" s="6">
        <v>46000</v>
      </c>
      <c r="D90" s="6"/>
      <c r="E90" s="7">
        <v>9.6</v>
      </c>
      <c r="F90" s="7">
        <v>9.6</v>
      </c>
      <c r="G90" s="7">
        <v>0</v>
      </c>
      <c r="H90" s="7">
        <v>0</v>
      </c>
      <c r="I90" s="7">
        <v>0</v>
      </c>
      <c r="J90" s="7">
        <v>0</v>
      </c>
      <c r="K90" s="7">
        <v>9.6</v>
      </c>
      <c r="L90" s="7">
        <v>0</v>
      </c>
      <c r="M90" s="7">
        <v>0</v>
      </c>
      <c r="N90" s="7">
        <v>0</v>
      </c>
      <c r="O90" s="7">
        <v>0</v>
      </c>
      <c r="P90" s="5" t="s">
        <v>21</v>
      </c>
      <c r="Q90" s="5" t="s">
        <v>22</v>
      </c>
      <c r="R90" s="8">
        <f t="shared" si="2"/>
        <v>288</v>
      </c>
    </row>
    <row r="91" spans="1:18" x14ac:dyDescent="0.2">
      <c r="A91" s="5" t="s">
        <v>142</v>
      </c>
      <c r="B91" s="5" t="s">
        <v>143</v>
      </c>
      <c r="C91" s="6">
        <v>46074</v>
      </c>
      <c r="D91" s="6">
        <f ca="1">TODAY()+28</f>
        <v>46343</v>
      </c>
      <c r="E91" s="7">
        <v>21.2</v>
      </c>
      <c r="F91" s="7">
        <v>21.2</v>
      </c>
      <c r="G91" s="7">
        <v>0</v>
      </c>
      <c r="H91" s="7">
        <v>0</v>
      </c>
      <c r="I91" s="7">
        <v>0</v>
      </c>
      <c r="J91" s="7">
        <v>0</v>
      </c>
      <c r="K91" s="7">
        <v>21.2</v>
      </c>
      <c r="L91" s="7">
        <v>0</v>
      </c>
      <c r="M91" s="7">
        <v>0</v>
      </c>
      <c r="N91" s="7">
        <v>0</v>
      </c>
      <c r="O91" s="7">
        <v>0</v>
      </c>
      <c r="P91" s="5" t="s">
        <v>21</v>
      </c>
      <c r="Q91" s="5" t="s">
        <v>25</v>
      </c>
      <c r="R91" s="8">
        <f t="shared" si="2"/>
        <v>214</v>
      </c>
    </row>
    <row r="92" spans="1:18" x14ac:dyDescent="0.2">
      <c r="A92" s="5" t="s">
        <v>144</v>
      </c>
      <c r="B92" s="5" t="s">
        <v>145</v>
      </c>
      <c r="C92" s="6">
        <v>46127</v>
      </c>
      <c r="D92" s="6"/>
      <c r="E92" s="7">
        <v>50</v>
      </c>
      <c r="F92" s="7">
        <v>50</v>
      </c>
      <c r="G92" s="7">
        <v>0</v>
      </c>
      <c r="H92" s="7">
        <v>0</v>
      </c>
      <c r="I92" s="7">
        <v>0</v>
      </c>
      <c r="J92" s="7">
        <v>0</v>
      </c>
      <c r="K92" s="7">
        <v>50</v>
      </c>
      <c r="L92" s="7">
        <v>0</v>
      </c>
      <c r="M92" s="7">
        <v>0</v>
      </c>
      <c r="N92" s="7">
        <v>0</v>
      </c>
      <c r="O92" s="7">
        <v>0</v>
      </c>
      <c r="P92" s="5" t="s">
        <v>21</v>
      </c>
      <c r="Q92" s="5" t="s">
        <v>22</v>
      </c>
      <c r="R92" s="8">
        <f t="shared" si="2"/>
        <v>161</v>
      </c>
    </row>
    <row r="93" spans="1:18" x14ac:dyDescent="0.2">
      <c r="A93" s="5" t="s">
        <v>144</v>
      </c>
      <c r="B93" s="5" t="s">
        <v>146</v>
      </c>
      <c r="C93" s="6">
        <v>45899</v>
      </c>
      <c r="D93" s="6">
        <f ca="1">TODAY()+41</f>
        <v>46356</v>
      </c>
      <c r="E93" s="7">
        <v>117</v>
      </c>
      <c r="F93" s="7">
        <v>117</v>
      </c>
      <c r="G93" s="7">
        <v>0</v>
      </c>
      <c r="H93" s="7">
        <v>0</v>
      </c>
      <c r="I93" s="7">
        <v>0</v>
      </c>
      <c r="J93" s="7">
        <v>0</v>
      </c>
      <c r="K93" s="7">
        <v>117</v>
      </c>
      <c r="L93" s="7">
        <v>0</v>
      </c>
      <c r="M93" s="7">
        <v>0</v>
      </c>
      <c r="N93" s="7">
        <v>0</v>
      </c>
      <c r="O93" s="7">
        <v>0</v>
      </c>
      <c r="P93" s="5" t="s">
        <v>21</v>
      </c>
      <c r="Q93" s="5" t="s">
        <v>25</v>
      </c>
      <c r="R93" s="8">
        <f t="shared" si="2"/>
        <v>389</v>
      </c>
    </row>
    <row r="94" spans="1:18" x14ac:dyDescent="0.2">
      <c r="A94" s="5" t="s">
        <v>144</v>
      </c>
      <c r="B94" s="5" t="s">
        <v>147</v>
      </c>
      <c r="C94" s="6">
        <v>46076</v>
      </c>
      <c r="D94" s="6">
        <f ca="1">TODAY()+14</f>
        <v>46329</v>
      </c>
      <c r="E94" s="7">
        <v>28.6</v>
      </c>
      <c r="F94" s="7">
        <v>28.6</v>
      </c>
      <c r="G94" s="7">
        <v>0</v>
      </c>
      <c r="H94" s="7">
        <v>0</v>
      </c>
      <c r="I94" s="7">
        <v>0</v>
      </c>
      <c r="J94" s="7">
        <v>0</v>
      </c>
      <c r="K94" s="7">
        <v>28.6</v>
      </c>
      <c r="L94" s="7">
        <v>0</v>
      </c>
      <c r="M94" s="7">
        <v>0</v>
      </c>
      <c r="N94" s="7">
        <v>0</v>
      </c>
      <c r="O94" s="7">
        <v>0</v>
      </c>
      <c r="P94" s="5" t="s">
        <v>21</v>
      </c>
      <c r="Q94" s="5" t="s">
        <v>25</v>
      </c>
      <c r="R94" s="8">
        <f t="shared" si="2"/>
        <v>212</v>
      </c>
    </row>
    <row r="95" spans="1:18" x14ac:dyDescent="0.2">
      <c r="A95" s="5" t="s">
        <v>148</v>
      </c>
      <c r="B95" s="5" t="s">
        <v>149</v>
      </c>
      <c r="C95" s="6">
        <v>45997</v>
      </c>
      <c r="D95" s="6"/>
      <c r="E95" s="7">
        <v>14.2</v>
      </c>
      <c r="F95" s="7">
        <v>14.2</v>
      </c>
      <c r="G95" s="7">
        <v>0</v>
      </c>
      <c r="H95" s="7">
        <v>0</v>
      </c>
      <c r="I95" s="7">
        <v>0</v>
      </c>
      <c r="J95" s="7">
        <v>0</v>
      </c>
      <c r="K95" s="7">
        <v>14.2</v>
      </c>
      <c r="L95" s="7">
        <v>0</v>
      </c>
      <c r="M95" s="7">
        <v>0</v>
      </c>
      <c r="N95" s="7">
        <v>0</v>
      </c>
      <c r="O95" s="7">
        <v>0</v>
      </c>
      <c r="P95" s="5" t="s">
        <v>21</v>
      </c>
      <c r="Q95" s="5" t="s">
        <v>22</v>
      </c>
      <c r="R95" s="8">
        <f t="shared" si="2"/>
        <v>291</v>
      </c>
    </row>
    <row r="96" spans="1:18" x14ac:dyDescent="0.2">
      <c r="A96" s="5" t="s">
        <v>150</v>
      </c>
      <c r="B96" s="5" t="s">
        <v>151</v>
      </c>
      <c r="C96" s="6">
        <v>46075</v>
      </c>
      <c r="D96" s="6"/>
      <c r="E96" s="7">
        <v>12</v>
      </c>
      <c r="F96" s="7">
        <v>12</v>
      </c>
      <c r="G96" s="7">
        <v>0</v>
      </c>
      <c r="H96" s="7">
        <v>0</v>
      </c>
      <c r="I96" s="7">
        <v>0</v>
      </c>
      <c r="J96" s="7">
        <v>0</v>
      </c>
      <c r="K96" s="7">
        <v>12</v>
      </c>
      <c r="L96" s="7">
        <v>0</v>
      </c>
      <c r="M96" s="7">
        <v>0</v>
      </c>
      <c r="N96" s="7">
        <v>0</v>
      </c>
      <c r="O96" s="7">
        <v>0</v>
      </c>
      <c r="P96" s="5" t="s">
        <v>21</v>
      </c>
      <c r="Q96" s="5" t="s">
        <v>22</v>
      </c>
      <c r="R96" s="8">
        <f t="shared" si="2"/>
        <v>213</v>
      </c>
    </row>
    <row r="97" spans="1:18" x14ac:dyDescent="0.2">
      <c r="A97" s="5" t="s">
        <v>64</v>
      </c>
      <c r="B97" s="5" t="s">
        <v>67</v>
      </c>
      <c r="C97" s="6">
        <v>46067</v>
      </c>
      <c r="D97" s="6"/>
      <c r="E97" s="7">
        <v>311</v>
      </c>
      <c r="F97" s="7">
        <v>311</v>
      </c>
      <c r="G97" s="7">
        <v>0</v>
      </c>
      <c r="H97" s="7">
        <v>0</v>
      </c>
      <c r="I97" s="7">
        <v>0</v>
      </c>
      <c r="J97" s="7">
        <v>0</v>
      </c>
      <c r="K97" s="7">
        <v>311</v>
      </c>
      <c r="L97" s="7">
        <v>0</v>
      </c>
      <c r="M97" s="7">
        <v>0</v>
      </c>
      <c r="N97" s="7">
        <v>0</v>
      </c>
      <c r="O97" s="7">
        <v>0</v>
      </c>
      <c r="P97" s="5" t="s">
        <v>21</v>
      </c>
      <c r="Q97" s="5" t="s">
        <v>22</v>
      </c>
      <c r="R97" s="8">
        <f t="shared" si="2"/>
        <v>221</v>
      </c>
    </row>
    <row r="98" spans="1:18" x14ac:dyDescent="0.2">
      <c r="A98" s="5" t="s">
        <v>152</v>
      </c>
      <c r="B98" s="5" t="s">
        <v>153</v>
      </c>
      <c r="C98" s="6">
        <v>45919</v>
      </c>
      <c r="D98" s="6"/>
      <c r="E98" s="7">
        <v>16</v>
      </c>
      <c r="F98" s="7">
        <v>16</v>
      </c>
      <c r="G98" s="7">
        <v>0</v>
      </c>
      <c r="H98" s="7">
        <v>0</v>
      </c>
      <c r="I98" s="7">
        <v>0</v>
      </c>
      <c r="J98" s="7">
        <v>0</v>
      </c>
      <c r="K98" s="7">
        <v>16</v>
      </c>
      <c r="L98" s="7">
        <v>0</v>
      </c>
      <c r="M98" s="7">
        <v>0</v>
      </c>
      <c r="N98" s="7">
        <v>0</v>
      </c>
      <c r="O98" s="7">
        <v>0</v>
      </c>
      <c r="P98" s="5" t="s">
        <v>21</v>
      </c>
      <c r="Q98" s="5" t="s">
        <v>22</v>
      </c>
      <c r="R98" s="8">
        <f t="shared" ref="R98:R111" si="3">DATE(2026,9,23)-C98</f>
        <v>369</v>
      </c>
    </row>
    <row r="99" spans="1:18" x14ac:dyDescent="0.2">
      <c r="A99" s="5" t="s">
        <v>98</v>
      </c>
      <c r="B99" s="5" t="s">
        <v>100</v>
      </c>
      <c r="C99" s="6">
        <v>46165</v>
      </c>
      <c r="D99" s="6"/>
      <c r="E99" s="7">
        <v>396</v>
      </c>
      <c r="F99" s="7">
        <v>298</v>
      </c>
      <c r="G99" s="7">
        <v>98</v>
      </c>
      <c r="H99" s="7">
        <v>0</v>
      </c>
      <c r="I99" s="7">
        <v>0</v>
      </c>
      <c r="J99" s="7">
        <v>0</v>
      </c>
      <c r="K99" s="7">
        <v>298</v>
      </c>
      <c r="L99" s="7">
        <v>0</v>
      </c>
      <c r="M99" s="7">
        <v>0</v>
      </c>
      <c r="N99" s="7">
        <v>0</v>
      </c>
      <c r="O99" s="7">
        <v>98</v>
      </c>
      <c r="P99" s="5" t="s">
        <v>21</v>
      </c>
      <c r="Q99" s="5" t="s">
        <v>22</v>
      </c>
      <c r="R99" s="8">
        <f t="shared" si="3"/>
        <v>123</v>
      </c>
    </row>
    <row r="100" spans="1:18" x14ac:dyDescent="0.2">
      <c r="A100" s="5" t="s">
        <v>154</v>
      </c>
      <c r="B100" s="5" t="s">
        <v>155</v>
      </c>
      <c r="C100" s="6">
        <v>45960</v>
      </c>
      <c r="D100" s="6"/>
      <c r="E100" s="7">
        <v>42</v>
      </c>
      <c r="F100" s="7">
        <v>42</v>
      </c>
      <c r="G100" s="7">
        <v>0</v>
      </c>
      <c r="H100" s="7">
        <v>0</v>
      </c>
      <c r="I100" s="7">
        <v>0</v>
      </c>
      <c r="J100" s="7">
        <v>0</v>
      </c>
      <c r="K100" s="7">
        <v>42</v>
      </c>
      <c r="L100" s="7">
        <v>0</v>
      </c>
      <c r="M100" s="7">
        <v>0</v>
      </c>
      <c r="N100" s="7">
        <v>0</v>
      </c>
      <c r="O100" s="7">
        <v>0</v>
      </c>
      <c r="P100" s="5" t="s">
        <v>21</v>
      </c>
      <c r="Q100" s="5" t="s">
        <v>22</v>
      </c>
      <c r="R100" s="8">
        <f t="shared" si="3"/>
        <v>328</v>
      </c>
    </row>
    <row r="101" spans="1:18" x14ac:dyDescent="0.2">
      <c r="A101" s="5" t="s">
        <v>156</v>
      </c>
      <c r="B101" s="5" t="s">
        <v>157</v>
      </c>
      <c r="C101" s="6">
        <v>46173</v>
      </c>
      <c r="D101" s="6">
        <f ca="1">TODAY()+64</f>
        <v>46379</v>
      </c>
      <c r="E101" s="7">
        <v>59.6</v>
      </c>
      <c r="F101" s="7">
        <v>59.6</v>
      </c>
      <c r="G101" s="7">
        <v>0</v>
      </c>
      <c r="H101" s="7">
        <v>0</v>
      </c>
      <c r="I101" s="7">
        <v>0</v>
      </c>
      <c r="J101" s="7">
        <v>0</v>
      </c>
      <c r="K101" s="7">
        <v>59.6</v>
      </c>
      <c r="L101" s="7">
        <v>0</v>
      </c>
      <c r="M101" s="7">
        <v>0</v>
      </c>
      <c r="N101" s="7">
        <v>0</v>
      </c>
      <c r="O101" s="7">
        <v>0</v>
      </c>
      <c r="P101" s="5" t="s">
        <v>21</v>
      </c>
      <c r="Q101" s="5" t="s">
        <v>25</v>
      </c>
      <c r="R101" s="8">
        <f t="shared" si="3"/>
        <v>115</v>
      </c>
    </row>
    <row r="102" spans="1:18" x14ac:dyDescent="0.2">
      <c r="A102" s="5" t="s">
        <v>156</v>
      </c>
      <c r="B102" s="5" t="s">
        <v>158</v>
      </c>
      <c r="C102" s="6">
        <v>45934</v>
      </c>
      <c r="D102" s="6">
        <f ca="1">TODAY()+59</f>
        <v>46374</v>
      </c>
      <c r="E102" s="7">
        <v>1549</v>
      </c>
      <c r="F102" s="7">
        <v>1048</v>
      </c>
      <c r="G102" s="7">
        <v>501</v>
      </c>
      <c r="H102" s="7">
        <v>0</v>
      </c>
      <c r="I102" s="7">
        <v>0</v>
      </c>
      <c r="J102" s="7">
        <v>0</v>
      </c>
      <c r="K102" s="7">
        <v>1048</v>
      </c>
      <c r="L102" s="7">
        <v>0</v>
      </c>
      <c r="M102" s="7">
        <v>0</v>
      </c>
      <c r="N102" s="7">
        <v>0</v>
      </c>
      <c r="O102" s="7">
        <v>501</v>
      </c>
      <c r="P102" s="5" t="s">
        <v>21</v>
      </c>
      <c r="Q102" s="5" t="s">
        <v>25</v>
      </c>
      <c r="R102" s="8">
        <f t="shared" si="3"/>
        <v>354</v>
      </c>
    </row>
    <row r="103" spans="1:18" x14ac:dyDescent="0.2">
      <c r="A103" s="5" t="s">
        <v>156</v>
      </c>
      <c r="B103" s="5" t="s">
        <v>159</v>
      </c>
      <c r="C103" s="6">
        <v>46057</v>
      </c>
      <c r="D103" s="6"/>
      <c r="E103" s="7">
        <v>1127</v>
      </c>
      <c r="F103" s="7">
        <v>773</v>
      </c>
      <c r="G103" s="7">
        <v>354</v>
      </c>
      <c r="H103" s="7">
        <v>0</v>
      </c>
      <c r="I103" s="7">
        <v>0</v>
      </c>
      <c r="J103" s="7">
        <v>0</v>
      </c>
      <c r="K103" s="7">
        <v>773</v>
      </c>
      <c r="L103" s="7">
        <v>0</v>
      </c>
      <c r="M103" s="7">
        <v>0</v>
      </c>
      <c r="N103" s="7">
        <v>0</v>
      </c>
      <c r="O103" s="7">
        <v>354</v>
      </c>
      <c r="P103" s="5" t="s">
        <v>21</v>
      </c>
      <c r="Q103" s="5" t="s">
        <v>22</v>
      </c>
      <c r="R103" s="8">
        <f t="shared" si="3"/>
        <v>231</v>
      </c>
    </row>
    <row r="104" spans="1:18" x14ac:dyDescent="0.2">
      <c r="A104" s="5" t="s">
        <v>46</v>
      </c>
      <c r="B104" s="5" t="s">
        <v>47</v>
      </c>
      <c r="C104" s="6">
        <v>45984</v>
      </c>
      <c r="D104" s="6"/>
      <c r="E104" s="7">
        <v>59.6</v>
      </c>
      <c r="F104" s="7">
        <v>59.6</v>
      </c>
      <c r="G104" s="7">
        <v>0</v>
      </c>
      <c r="H104" s="7">
        <v>0</v>
      </c>
      <c r="I104" s="7">
        <v>0</v>
      </c>
      <c r="J104" s="7">
        <v>0</v>
      </c>
      <c r="K104" s="7">
        <v>59.6</v>
      </c>
      <c r="L104" s="7">
        <v>0</v>
      </c>
      <c r="M104" s="7">
        <v>0</v>
      </c>
      <c r="N104" s="7">
        <v>0</v>
      </c>
      <c r="O104" s="7">
        <v>0</v>
      </c>
      <c r="P104" s="5" t="s">
        <v>21</v>
      </c>
      <c r="Q104" s="5" t="s">
        <v>22</v>
      </c>
      <c r="R104" s="8">
        <f t="shared" si="3"/>
        <v>304</v>
      </c>
    </row>
    <row r="105" spans="1:18" x14ac:dyDescent="0.2">
      <c r="A105" s="5" t="s">
        <v>160</v>
      </c>
      <c r="B105" s="5" t="s">
        <v>161</v>
      </c>
      <c r="C105" s="6">
        <v>45933</v>
      </c>
      <c r="D105" s="6">
        <f ca="1">TODAY()+66</f>
        <v>46381</v>
      </c>
      <c r="E105" s="7">
        <v>49.8</v>
      </c>
      <c r="F105" s="7">
        <v>49.8</v>
      </c>
      <c r="G105" s="7">
        <v>0</v>
      </c>
      <c r="H105" s="7">
        <v>0</v>
      </c>
      <c r="I105" s="7">
        <v>0</v>
      </c>
      <c r="J105" s="7">
        <v>0</v>
      </c>
      <c r="K105" s="7">
        <v>49.8</v>
      </c>
      <c r="L105" s="7">
        <v>0</v>
      </c>
      <c r="M105" s="7">
        <v>0</v>
      </c>
      <c r="N105" s="7">
        <v>0</v>
      </c>
      <c r="O105" s="7">
        <v>0</v>
      </c>
      <c r="P105" s="5" t="s">
        <v>21</v>
      </c>
      <c r="Q105" s="5" t="s">
        <v>25</v>
      </c>
      <c r="R105" s="8">
        <f t="shared" si="3"/>
        <v>355</v>
      </c>
    </row>
    <row r="106" spans="1:18" x14ac:dyDescent="0.2">
      <c r="A106" s="5" t="s">
        <v>162</v>
      </c>
      <c r="B106" s="5" t="s">
        <v>163</v>
      </c>
      <c r="C106" s="6">
        <v>46071</v>
      </c>
      <c r="D106" s="6">
        <f ca="1">TODAY()+47</f>
        <v>46362</v>
      </c>
      <c r="E106" s="7">
        <v>21.8</v>
      </c>
      <c r="F106" s="7">
        <v>21.8</v>
      </c>
      <c r="G106" s="7">
        <v>0</v>
      </c>
      <c r="H106" s="7">
        <v>0</v>
      </c>
      <c r="I106" s="7">
        <v>0</v>
      </c>
      <c r="J106" s="7">
        <v>0</v>
      </c>
      <c r="K106" s="7">
        <v>21.8</v>
      </c>
      <c r="L106" s="7">
        <v>0</v>
      </c>
      <c r="M106" s="7">
        <v>0</v>
      </c>
      <c r="N106" s="7">
        <v>0</v>
      </c>
      <c r="O106" s="7">
        <v>0</v>
      </c>
      <c r="P106" s="5" t="s">
        <v>21</v>
      </c>
      <c r="Q106" s="5" t="s">
        <v>25</v>
      </c>
      <c r="R106" s="8">
        <f t="shared" si="3"/>
        <v>217</v>
      </c>
    </row>
    <row r="107" spans="1:18" x14ac:dyDescent="0.2">
      <c r="A107" s="5" t="s">
        <v>162</v>
      </c>
      <c r="B107" s="5" t="s">
        <v>164</v>
      </c>
      <c r="C107" s="6">
        <v>46069</v>
      </c>
      <c r="D107" s="6"/>
      <c r="E107" s="7">
        <v>9</v>
      </c>
      <c r="F107" s="7">
        <v>9</v>
      </c>
      <c r="G107" s="7">
        <v>0</v>
      </c>
      <c r="H107" s="7">
        <v>0</v>
      </c>
      <c r="I107" s="7">
        <v>0</v>
      </c>
      <c r="J107" s="7">
        <v>0</v>
      </c>
      <c r="K107" s="7">
        <v>9</v>
      </c>
      <c r="L107" s="7">
        <v>0</v>
      </c>
      <c r="M107" s="7">
        <v>0</v>
      </c>
      <c r="N107" s="7">
        <v>0</v>
      </c>
      <c r="O107" s="7">
        <v>0</v>
      </c>
      <c r="P107" s="5" t="s">
        <v>21</v>
      </c>
      <c r="Q107" s="5" t="s">
        <v>22</v>
      </c>
      <c r="R107" s="8">
        <f t="shared" si="3"/>
        <v>219</v>
      </c>
    </row>
    <row r="108" spans="1:18" x14ac:dyDescent="0.2">
      <c r="A108" s="5" t="s">
        <v>165</v>
      </c>
      <c r="B108" s="5" t="s">
        <v>166</v>
      </c>
      <c r="C108" s="6">
        <v>46136</v>
      </c>
      <c r="D108" s="6">
        <f ca="1">TODAY()+63</f>
        <v>46378</v>
      </c>
      <c r="E108" s="7">
        <v>30</v>
      </c>
      <c r="F108" s="7">
        <v>30</v>
      </c>
      <c r="G108" s="7">
        <v>0</v>
      </c>
      <c r="H108" s="7">
        <v>0</v>
      </c>
      <c r="I108" s="7">
        <v>0</v>
      </c>
      <c r="J108" s="7">
        <v>0</v>
      </c>
      <c r="K108" s="7">
        <v>30</v>
      </c>
      <c r="L108" s="7">
        <v>0</v>
      </c>
      <c r="M108" s="7">
        <v>0</v>
      </c>
      <c r="N108" s="7">
        <v>0</v>
      </c>
      <c r="O108" s="7">
        <v>0</v>
      </c>
      <c r="P108" s="5" t="s">
        <v>21</v>
      </c>
      <c r="Q108" s="5" t="s">
        <v>25</v>
      </c>
      <c r="R108" s="8">
        <f t="shared" si="3"/>
        <v>152</v>
      </c>
    </row>
    <row r="109" spans="1:18" x14ac:dyDescent="0.2">
      <c r="A109" s="5" t="s">
        <v>165</v>
      </c>
      <c r="B109" s="5" t="s">
        <v>167</v>
      </c>
      <c r="C109" s="6">
        <v>46080</v>
      </c>
      <c r="D109" s="6">
        <f ca="1">TODAY()+15</f>
        <v>46330</v>
      </c>
      <c r="E109" s="7">
        <v>51</v>
      </c>
      <c r="F109" s="7">
        <v>51</v>
      </c>
      <c r="G109" s="7">
        <v>0</v>
      </c>
      <c r="H109" s="7">
        <v>0</v>
      </c>
      <c r="I109" s="7">
        <v>0</v>
      </c>
      <c r="J109" s="7">
        <v>0</v>
      </c>
      <c r="K109" s="7">
        <v>51</v>
      </c>
      <c r="L109" s="7">
        <v>0</v>
      </c>
      <c r="M109" s="7">
        <v>0</v>
      </c>
      <c r="N109" s="7">
        <v>0</v>
      </c>
      <c r="O109" s="7">
        <v>0</v>
      </c>
      <c r="P109" s="5" t="s">
        <v>21</v>
      </c>
      <c r="Q109" s="5" t="s">
        <v>25</v>
      </c>
      <c r="R109" s="8">
        <f t="shared" si="3"/>
        <v>208</v>
      </c>
    </row>
    <row r="110" spans="1:18" x14ac:dyDescent="0.2">
      <c r="A110" s="5" t="s">
        <v>165</v>
      </c>
      <c r="B110" s="5" t="s">
        <v>168</v>
      </c>
      <c r="C110" s="6">
        <v>46174</v>
      </c>
      <c r="D110" s="6">
        <f ca="1">TODAY()+11</f>
        <v>46326</v>
      </c>
      <c r="E110" s="7">
        <v>69</v>
      </c>
      <c r="F110" s="7">
        <v>69</v>
      </c>
      <c r="G110" s="7">
        <v>0</v>
      </c>
      <c r="H110" s="7">
        <v>0</v>
      </c>
      <c r="I110" s="7">
        <v>0</v>
      </c>
      <c r="J110" s="7">
        <v>0</v>
      </c>
      <c r="K110" s="7">
        <v>69</v>
      </c>
      <c r="L110" s="7">
        <v>0</v>
      </c>
      <c r="M110" s="7">
        <v>0</v>
      </c>
      <c r="N110" s="7">
        <v>0</v>
      </c>
      <c r="O110" s="7">
        <v>0</v>
      </c>
      <c r="P110" s="5" t="s">
        <v>21</v>
      </c>
      <c r="Q110" s="5" t="s">
        <v>25</v>
      </c>
      <c r="R110" s="8">
        <f t="shared" si="3"/>
        <v>114</v>
      </c>
    </row>
    <row r="111" spans="1:18" x14ac:dyDescent="0.2">
      <c r="A111" s="5" t="s">
        <v>169</v>
      </c>
      <c r="B111" s="5" t="s">
        <v>170</v>
      </c>
      <c r="C111" s="6">
        <v>45994</v>
      </c>
      <c r="D111" s="6">
        <f ca="1">TODAY()+13</f>
        <v>46328</v>
      </c>
      <c r="E111" s="7">
        <v>27.5</v>
      </c>
      <c r="F111" s="7">
        <v>27.5</v>
      </c>
      <c r="G111" s="7">
        <v>0</v>
      </c>
      <c r="H111" s="7">
        <v>0</v>
      </c>
      <c r="I111" s="7">
        <v>0</v>
      </c>
      <c r="J111" s="7">
        <v>0</v>
      </c>
      <c r="K111" s="7">
        <v>27.5</v>
      </c>
      <c r="L111" s="7">
        <v>0</v>
      </c>
      <c r="M111" s="7">
        <v>0</v>
      </c>
      <c r="N111" s="7">
        <v>0</v>
      </c>
      <c r="O111" s="7">
        <v>0</v>
      </c>
      <c r="P111" s="5" t="s">
        <v>21</v>
      </c>
      <c r="Q111" s="5" t="s">
        <v>25</v>
      </c>
      <c r="R111" s="8">
        <f t="shared" si="3"/>
        <v>294</v>
      </c>
    </row>
  </sheetData>
  <autoFilter ref="A1:R111" xr:uid="{00000000-0009-0000-0000-000001000000}"/>
  <conditionalFormatting sqref="K2:K111">
    <cfRule type="expression" dxfId="0" priority="1">
      <formula>K2&gt;0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13"/>
  <sheetViews>
    <sheetView workbookViewId="0">
      <selection activeCell="B40" sqref="B40"/>
    </sheetView>
  </sheetViews>
  <sheetFormatPr baseColWidth="10" defaultColWidth="8.83203125" defaultRowHeight="15" x14ac:dyDescent="0.2"/>
  <cols>
    <col min="1" max="1" width="26" customWidth="1"/>
    <col min="2" max="2" width="62" customWidth="1"/>
    <col min="3" max="6" width="18" customWidth="1"/>
  </cols>
  <sheetData>
    <row r="1" spans="1:6" ht="24" customHeight="1" x14ac:dyDescent="0.3">
      <c r="A1" s="17" t="s">
        <v>200</v>
      </c>
      <c r="B1" s="18"/>
      <c r="C1" s="18"/>
      <c r="D1" s="18"/>
      <c r="E1" s="18"/>
      <c r="F1" s="18"/>
    </row>
    <row r="3" spans="1:6" ht="28" customHeight="1" x14ac:dyDescent="0.2">
      <c r="A3" s="19" t="s">
        <v>201</v>
      </c>
      <c r="B3" s="18"/>
      <c r="C3" s="18"/>
      <c r="D3" s="18"/>
      <c r="E3" s="18"/>
      <c r="F3" s="18"/>
    </row>
    <row r="4" spans="1:6" x14ac:dyDescent="0.2">
      <c r="A4" s="18"/>
      <c r="B4" s="18"/>
      <c r="C4" s="18"/>
      <c r="D4" s="18"/>
      <c r="E4" s="18"/>
      <c r="F4" s="18"/>
    </row>
    <row r="5" spans="1:6" x14ac:dyDescent="0.2">
      <c r="A5" s="18"/>
      <c r="B5" s="18"/>
      <c r="C5" s="18"/>
      <c r="D5" s="18"/>
      <c r="E5" s="18"/>
      <c r="F5" s="18"/>
    </row>
    <row r="6" spans="1:6" x14ac:dyDescent="0.2">
      <c r="A6" s="18"/>
      <c r="B6" s="18"/>
      <c r="C6" s="18"/>
      <c r="D6" s="18"/>
      <c r="E6" s="18"/>
      <c r="F6" s="18"/>
    </row>
    <row r="7" spans="1:6" x14ac:dyDescent="0.2">
      <c r="A7" s="18"/>
      <c r="B7" s="18"/>
      <c r="C7" s="18"/>
      <c r="D7" s="18"/>
      <c r="E7" s="18"/>
      <c r="F7" s="18"/>
    </row>
    <row r="8" spans="1:6" x14ac:dyDescent="0.2">
      <c r="A8" s="18"/>
      <c r="B8" s="18"/>
      <c r="C8" s="18"/>
      <c r="D8" s="18"/>
      <c r="E8" s="18"/>
      <c r="F8" s="18"/>
    </row>
    <row r="10" spans="1:6" x14ac:dyDescent="0.2">
      <c r="A10" s="1" t="s">
        <v>0</v>
      </c>
      <c r="B10" s="2">
        <v>46288</v>
      </c>
    </row>
    <row r="11" spans="1:6" x14ac:dyDescent="0.2">
      <c r="A11" s="1" t="s">
        <v>202</v>
      </c>
      <c r="B11">
        <v>110</v>
      </c>
    </row>
    <row r="12" spans="1:6" ht="32" customHeight="1" x14ac:dyDescent="0.2">
      <c r="A12" s="1" t="s">
        <v>1</v>
      </c>
      <c r="B12" s="3" t="s">
        <v>2</v>
      </c>
    </row>
    <row r="13" spans="1:6" x14ac:dyDescent="0.2">
      <c r="A13" s="1" t="s">
        <v>3</v>
      </c>
      <c r="B13" t="s">
        <v>4</v>
      </c>
    </row>
  </sheetData>
  <mergeCells count="2">
    <mergeCell ref="A1:F1"/>
    <mergeCell ref="A3:F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355D"/>
  </sheetPr>
  <dimension ref="A1:E25"/>
  <sheetViews>
    <sheetView workbookViewId="0">
      <selection activeCell="A41" sqref="A41"/>
    </sheetView>
  </sheetViews>
  <sheetFormatPr baseColWidth="10" defaultColWidth="8.83203125" defaultRowHeight="15" x14ac:dyDescent="0.2"/>
  <cols>
    <col min="1" max="1" width="44" customWidth="1"/>
    <col min="2" max="2" width="18" customWidth="1"/>
    <col min="3" max="3" width="16" customWidth="1"/>
    <col min="4" max="4" width="14" customWidth="1"/>
    <col min="5" max="5" width="12" customWidth="1"/>
  </cols>
  <sheetData>
    <row r="1" spans="1:5" ht="21" x14ac:dyDescent="0.25">
      <c r="A1" s="20" t="s">
        <v>211</v>
      </c>
      <c r="B1" s="18"/>
      <c r="C1" s="18"/>
      <c r="D1" s="18"/>
    </row>
    <row r="3" spans="1:5" ht="17" x14ac:dyDescent="0.2">
      <c r="A3" s="10" t="s">
        <v>171</v>
      </c>
    </row>
    <row r="4" spans="1:5" x14ac:dyDescent="0.2">
      <c r="A4" s="11" t="s">
        <v>172</v>
      </c>
      <c r="B4">
        <f>COUNTA(DATA!B2:B111)</f>
        <v>110</v>
      </c>
    </row>
    <row r="5" spans="1:5" x14ac:dyDescent="0.2">
      <c r="A5" s="11" t="s">
        <v>7</v>
      </c>
      <c r="B5" s="12">
        <f>SUM(DATA!E2:E111)</f>
        <v>22550.509999999991</v>
      </c>
    </row>
    <row r="6" spans="1:5" x14ac:dyDescent="0.2">
      <c r="A6" s="11" t="s">
        <v>173</v>
      </c>
      <c r="B6" s="12">
        <f>SUM(DATA!F2:F111)</f>
        <v>20022.139999999996</v>
      </c>
    </row>
    <row r="7" spans="1:5" x14ac:dyDescent="0.2">
      <c r="A7" s="11" t="s">
        <v>174</v>
      </c>
      <c r="B7" s="12">
        <f>SUM(DATA!G2:G111)</f>
        <v>2528.37</v>
      </c>
    </row>
    <row r="8" spans="1:5" x14ac:dyDescent="0.2">
      <c r="A8" s="11" t="s">
        <v>175</v>
      </c>
      <c r="B8" s="13">
        <f>IF(B5=0,0,B6/B5)</f>
        <v>0.88787969762102958</v>
      </c>
    </row>
    <row r="9" spans="1:5" x14ac:dyDescent="0.2">
      <c r="A9" s="11" t="s">
        <v>11</v>
      </c>
      <c r="B9" s="12">
        <f>SUM(DATA!K2:K111)</f>
        <v>20022.139999999996</v>
      </c>
    </row>
    <row r="10" spans="1:5" x14ac:dyDescent="0.2">
      <c r="A10" s="11" t="s">
        <v>176</v>
      </c>
      <c r="B10" s="13">
        <f>IF(B6=0,0,B9/B6)</f>
        <v>1</v>
      </c>
    </row>
    <row r="11" spans="1:5" x14ac:dyDescent="0.2">
      <c r="A11" s="11" t="s">
        <v>177</v>
      </c>
      <c r="B11">
        <f>COUNTIF(DATA!K2:K111,"&gt;0")</f>
        <v>109</v>
      </c>
    </row>
    <row r="12" spans="1:5" x14ac:dyDescent="0.2">
      <c r="A12" s="11" t="s">
        <v>178</v>
      </c>
      <c r="B12">
        <f>COUNTIFS(DATA!K2:K111,"&gt;0",DATA!Q2:Q111,"No")</f>
        <v>71</v>
      </c>
    </row>
    <row r="13" spans="1:5" x14ac:dyDescent="0.2">
      <c r="A13" s="11" t="s">
        <v>179</v>
      </c>
      <c r="B13" s="14">
        <f>SUMPRODUCT(1/COUNTIF(DATA!A2:A111,DATA!A2:A111))</f>
        <v>59.000000000000028</v>
      </c>
    </row>
    <row r="15" spans="1:5" ht="17" x14ac:dyDescent="0.2">
      <c r="A15" s="10" t="s">
        <v>180</v>
      </c>
    </row>
    <row r="16" spans="1:5" ht="32" customHeight="1" x14ac:dyDescent="0.2">
      <c r="A16" s="4" t="s">
        <v>181</v>
      </c>
      <c r="B16" s="4" t="s">
        <v>182</v>
      </c>
      <c r="C16" s="4" t="s">
        <v>183</v>
      </c>
      <c r="D16" s="4" t="s">
        <v>184</v>
      </c>
      <c r="E16" s="4" t="s">
        <v>185</v>
      </c>
    </row>
    <row r="17" spans="1:5" x14ac:dyDescent="0.2">
      <c r="A17" t="s">
        <v>186</v>
      </c>
      <c r="B17" s="12">
        <f>SUM(DATA!H2:H111)</f>
        <v>0</v>
      </c>
      <c r="C17" s="12">
        <f>SUM(DATA!L2:L111)</f>
        <v>0</v>
      </c>
      <c r="D17" s="12">
        <f>B17+C17</f>
        <v>0</v>
      </c>
      <c r="E17" s="13">
        <f>IF($D$21=0,0,D17/$D$21)</f>
        <v>0</v>
      </c>
    </row>
    <row r="18" spans="1:5" x14ac:dyDescent="0.2">
      <c r="A18" t="s">
        <v>187</v>
      </c>
      <c r="B18" s="12">
        <f>SUM(DATA!I2:I111)</f>
        <v>0</v>
      </c>
      <c r="C18" s="12">
        <f>SUM(DATA!M2:M111)</f>
        <v>0</v>
      </c>
      <c r="D18" s="12">
        <f>B18+C18</f>
        <v>0</v>
      </c>
      <c r="E18" s="13">
        <f>IF($D$21=0,0,D18/$D$21)</f>
        <v>0</v>
      </c>
    </row>
    <row r="19" spans="1:5" x14ac:dyDescent="0.2">
      <c r="A19" t="s">
        <v>188</v>
      </c>
      <c r="B19" s="12">
        <f>SUM(DATA!J2:J111)</f>
        <v>0</v>
      </c>
      <c r="C19" s="12">
        <f>SUM(DATA!N2:N111)</f>
        <v>0</v>
      </c>
      <c r="D19" s="12">
        <f>B19+C19</f>
        <v>0</v>
      </c>
      <c r="E19" s="13">
        <f>IF($D$21=0,0,D19/$D$21)</f>
        <v>0</v>
      </c>
    </row>
    <row r="20" spans="1:5" x14ac:dyDescent="0.2">
      <c r="A20" t="s">
        <v>21</v>
      </c>
      <c r="B20" s="12">
        <f>SUM(DATA!K2:K111)</f>
        <v>20022.139999999996</v>
      </c>
      <c r="C20" s="12">
        <f>SUM(DATA!O2:O111)</f>
        <v>2528.37</v>
      </c>
      <c r="D20" s="12">
        <f>B20+C20</f>
        <v>22550.509999999995</v>
      </c>
      <c r="E20" s="13">
        <f>IF($D$21=0,0,D20/$D$21)</f>
        <v>1</v>
      </c>
    </row>
    <row r="21" spans="1:5" x14ac:dyDescent="0.2">
      <c r="A21" s="11" t="s">
        <v>189</v>
      </c>
      <c r="B21" s="15">
        <f>SUM(B17:B20)</f>
        <v>20022.139999999996</v>
      </c>
      <c r="C21" s="15">
        <f>SUM(C17:C20)</f>
        <v>2528.37</v>
      </c>
      <c r="D21" s="15">
        <f>SUM(D17:D20)</f>
        <v>22550.509999999995</v>
      </c>
      <c r="E21" s="16">
        <f>SUM(E17:E20)</f>
        <v>1</v>
      </c>
    </row>
    <row r="23" spans="1:5" ht="17" x14ac:dyDescent="0.2">
      <c r="A23" s="10" t="s">
        <v>190</v>
      </c>
    </row>
    <row r="24" spans="1:5" x14ac:dyDescent="0.2">
      <c r="A24" t="s">
        <v>191</v>
      </c>
      <c r="B24">
        <f>B12</f>
        <v>71</v>
      </c>
    </row>
    <row r="25" spans="1:5" x14ac:dyDescent="0.2">
      <c r="A25" t="s">
        <v>192</v>
      </c>
      <c r="B25" s="12">
        <f>SUMIFS(DATA!E2:E111,DATA!K2:K111,"&gt;0",DATA!Q2:Q111,"No")</f>
        <v>13527.720000000003</v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E34"/>
  <sheetViews>
    <sheetView workbookViewId="0">
      <selection activeCell="E24" sqref="E24"/>
    </sheetView>
  </sheetViews>
  <sheetFormatPr baseColWidth="10" defaultColWidth="8.83203125" defaultRowHeight="15" x14ac:dyDescent="0.2"/>
  <cols>
    <col min="1" max="1" width="32" customWidth="1"/>
    <col min="2" max="2" width="18" customWidth="1"/>
    <col min="3" max="4" width="16" customWidth="1"/>
    <col min="5" max="5" width="22" customWidth="1"/>
  </cols>
  <sheetData>
    <row r="1" spans="1:5" ht="21" x14ac:dyDescent="0.25">
      <c r="A1" s="20" t="s">
        <v>208</v>
      </c>
      <c r="B1" s="18"/>
      <c r="C1" s="18"/>
    </row>
    <row r="2" spans="1:5" x14ac:dyDescent="0.2">
      <c r="A2" t="s">
        <v>193</v>
      </c>
    </row>
    <row r="4" spans="1:5" ht="32" customHeight="1" x14ac:dyDescent="0.2">
      <c r="A4" s="4" t="s">
        <v>16</v>
      </c>
      <c r="B4" s="4" t="s">
        <v>182</v>
      </c>
      <c r="C4" s="4" t="s">
        <v>183</v>
      </c>
      <c r="D4" s="4" t="s">
        <v>172</v>
      </c>
      <c r="E4" s="4" t="s">
        <v>210</v>
      </c>
    </row>
    <row r="5" spans="1:5" x14ac:dyDescent="0.2">
      <c r="A5" t="s">
        <v>186</v>
      </c>
      <c r="B5" s="12">
        <f>SUMIF(DATA!P:P,A5,DATA!F:F)</f>
        <v>0</v>
      </c>
      <c r="C5" s="12">
        <f>SUMIF(DATA!P:P,A5,DATA!G:G)</f>
        <v>0</v>
      </c>
      <c r="D5">
        <f>COUNTIF(DATA!P:P,A5)</f>
        <v>0</v>
      </c>
      <c r="E5">
        <f>COUNTIFS(DATA!P:P,A5,DATA!Q:Q,"No")</f>
        <v>0</v>
      </c>
    </row>
    <row r="6" spans="1:5" x14ac:dyDescent="0.2">
      <c r="A6" t="s">
        <v>187</v>
      </c>
      <c r="B6" s="12">
        <f>SUMIF(DATA!P:P,A6,DATA!F:F)</f>
        <v>0</v>
      </c>
      <c r="C6" s="12">
        <f>SUMIF(DATA!P:P,A6,DATA!G:G)</f>
        <v>0</v>
      </c>
      <c r="D6">
        <f>COUNTIF(DATA!P:P,A6)</f>
        <v>0</v>
      </c>
      <c r="E6">
        <f>COUNTIFS(DATA!P:P,A6,DATA!Q:Q,"No")</f>
        <v>0</v>
      </c>
    </row>
    <row r="7" spans="1:5" x14ac:dyDescent="0.2">
      <c r="A7" t="s">
        <v>188</v>
      </c>
      <c r="B7" s="12">
        <f>SUMIF(DATA!P:P,A7,DATA!F:F)</f>
        <v>0</v>
      </c>
      <c r="C7" s="12">
        <f>SUMIF(DATA!P:P,A7,DATA!G:G)</f>
        <v>0</v>
      </c>
      <c r="D7">
        <f>COUNTIF(DATA!P:P,A7)</f>
        <v>0</v>
      </c>
      <c r="E7">
        <f>COUNTIFS(DATA!P:P,A7,DATA!Q:Q,"No")</f>
        <v>0</v>
      </c>
    </row>
    <row r="8" spans="1:5" x14ac:dyDescent="0.2">
      <c r="A8" t="s">
        <v>21</v>
      </c>
      <c r="B8" s="12">
        <f>SUMIF(DATA!P:P,A8,DATA!F:F)</f>
        <v>20022.139999999996</v>
      </c>
      <c r="C8" s="12">
        <f>SUMIF(DATA!P:P,A8,DATA!G:G)</f>
        <v>2528.37</v>
      </c>
      <c r="D8">
        <f>COUNTIF(DATA!P:P,A8)</f>
        <v>110</v>
      </c>
      <c r="E8">
        <f>COUNTIFS(DATA!P:P,A8,DATA!Q:Q,"No")</f>
        <v>71</v>
      </c>
    </row>
    <row r="9" spans="1:5" x14ac:dyDescent="0.2">
      <c r="A9" s="11" t="s">
        <v>189</v>
      </c>
      <c r="B9" s="15">
        <f>SUM(B5:B8)</f>
        <v>20022.139999999996</v>
      </c>
      <c r="C9" s="15">
        <f>SUM(C5:C8)</f>
        <v>2528.37</v>
      </c>
      <c r="D9" s="11">
        <f>SUM(D5:D8)</f>
        <v>110</v>
      </c>
      <c r="E9" s="11">
        <f>SUM(E5:E8)</f>
        <v>71</v>
      </c>
    </row>
    <row r="11" spans="1:5" ht="17" x14ac:dyDescent="0.2">
      <c r="A11" s="10" t="s">
        <v>209</v>
      </c>
    </row>
    <row r="12" spans="1:5" x14ac:dyDescent="0.2">
      <c r="A12" t="s">
        <v>194</v>
      </c>
    </row>
    <row r="13" spans="1:5" ht="32" customHeight="1" x14ac:dyDescent="0.2">
      <c r="A13" s="4" t="s">
        <v>5</v>
      </c>
      <c r="B13" s="4" t="s">
        <v>7</v>
      </c>
      <c r="C13" s="4" t="s">
        <v>182</v>
      </c>
      <c r="D13" s="4" t="s">
        <v>183</v>
      </c>
    </row>
    <row r="14" spans="1:5" x14ac:dyDescent="0.2">
      <c r="A14" t="s">
        <v>98</v>
      </c>
      <c r="B14" s="12">
        <f>SUMIF(DATA!A:A,A14,DATA!E:E)</f>
        <v>4115.32</v>
      </c>
      <c r="C14" s="12">
        <f>SUMIF(DATA!A:A,A14,DATA!F:F)</f>
        <v>3660.32</v>
      </c>
      <c r="D14" s="12">
        <f>SUMIF(DATA!A:A,A14,DATA!G:G)</f>
        <v>455</v>
      </c>
    </row>
    <row r="15" spans="1:5" x14ac:dyDescent="0.2">
      <c r="A15" t="s">
        <v>118</v>
      </c>
      <c r="B15" s="12">
        <f>SUMIF(DATA!A:A,A15,DATA!E:E)</f>
        <v>3180</v>
      </c>
      <c r="C15" s="12">
        <f>SUMIF(DATA!A:A,A15,DATA!F:F)</f>
        <v>3180</v>
      </c>
      <c r="D15" s="12">
        <f>SUMIF(DATA!A:A,A15,DATA!G:G)</f>
        <v>0</v>
      </c>
    </row>
    <row r="16" spans="1:5" x14ac:dyDescent="0.2">
      <c r="A16" t="s">
        <v>156</v>
      </c>
      <c r="B16" s="12">
        <f>SUMIF(DATA!A:A,A16,DATA!E:E)</f>
        <v>2735.6</v>
      </c>
      <c r="C16" s="12">
        <f>SUMIF(DATA!A:A,A16,DATA!F:F)</f>
        <v>1880.6</v>
      </c>
      <c r="D16" s="12">
        <f>SUMIF(DATA!A:A,A16,DATA!G:G)</f>
        <v>855</v>
      </c>
    </row>
    <row r="17" spans="1:4" x14ac:dyDescent="0.2">
      <c r="A17" t="s">
        <v>71</v>
      </c>
      <c r="B17" s="12">
        <f>SUMIF(DATA!A:A,A17,DATA!E:E)</f>
        <v>2226.15</v>
      </c>
      <c r="C17" s="12">
        <f>SUMIF(DATA!A:A,A17,DATA!F:F)</f>
        <v>1228.78</v>
      </c>
      <c r="D17" s="12">
        <f>SUMIF(DATA!A:A,A17,DATA!G:G)</f>
        <v>997.37</v>
      </c>
    </row>
    <row r="18" spans="1:4" x14ac:dyDescent="0.2">
      <c r="A18" t="s">
        <v>59</v>
      </c>
      <c r="B18" s="12">
        <f>SUMIF(DATA!A:A,A18,DATA!E:E)</f>
        <v>1880.9399999999998</v>
      </c>
      <c r="C18" s="12">
        <f>SUMIF(DATA!A:A,A18,DATA!F:F)</f>
        <v>1659.9399999999998</v>
      </c>
      <c r="D18" s="12">
        <f>SUMIF(DATA!A:A,A18,DATA!G:G)</f>
        <v>221</v>
      </c>
    </row>
    <row r="19" spans="1:4" x14ac:dyDescent="0.2">
      <c r="A19" t="s">
        <v>80</v>
      </c>
      <c r="B19" s="12">
        <f>SUMIF(DATA!A:A,A19,DATA!E:E)</f>
        <v>1350</v>
      </c>
      <c r="C19" s="12">
        <f>SUMIF(DATA!A:A,A19,DATA!F:F)</f>
        <v>1350</v>
      </c>
      <c r="D19" s="12">
        <f>SUMIF(DATA!A:A,A19,DATA!G:G)</f>
        <v>0</v>
      </c>
    </row>
    <row r="20" spans="1:4" x14ac:dyDescent="0.2">
      <c r="A20" t="s">
        <v>89</v>
      </c>
      <c r="B20" s="12">
        <f>SUMIF(DATA!A:A,A20,DATA!E:E)</f>
        <v>975.1</v>
      </c>
      <c r="C20" s="12">
        <f>SUMIF(DATA!A:A,A20,DATA!F:F)</f>
        <v>975.1</v>
      </c>
      <c r="D20" s="12">
        <f>SUMIF(DATA!A:A,A20,DATA!G:G)</f>
        <v>0</v>
      </c>
    </row>
    <row r="21" spans="1:4" x14ac:dyDescent="0.2">
      <c r="A21" t="s">
        <v>32</v>
      </c>
      <c r="B21" s="12">
        <f>SUMIF(DATA!A:A,A21,DATA!E:E)</f>
        <v>523</v>
      </c>
      <c r="C21" s="12">
        <f>SUMIF(DATA!A:A,A21,DATA!F:F)</f>
        <v>523</v>
      </c>
      <c r="D21" s="12">
        <f>SUMIF(DATA!A:A,A21,DATA!G:G)</f>
        <v>0</v>
      </c>
    </row>
    <row r="22" spans="1:4" x14ac:dyDescent="0.2">
      <c r="A22" t="s">
        <v>42</v>
      </c>
      <c r="B22" s="12">
        <f>SUMIF(DATA!A:A,A22,DATA!E:E)</f>
        <v>521.45000000000005</v>
      </c>
      <c r="C22" s="12">
        <f>SUMIF(DATA!A:A,A22,DATA!F:F)</f>
        <v>521.45000000000005</v>
      </c>
      <c r="D22" s="12">
        <f>SUMIF(DATA!A:A,A22,DATA!G:G)</f>
        <v>0</v>
      </c>
    </row>
    <row r="23" spans="1:4" x14ac:dyDescent="0.2">
      <c r="A23" t="s">
        <v>64</v>
      </c>
      <c r="B23" s="12">
        <f>SUMIF(DATA!A:A,A23,DATA!E:E)</f>
        <v>459.55</v>
      </c>
      <c r="C23" s="12">
        <f>SUMIF(DATA!A:A,A23,DATA!F:F)</f>
        <v>459.55</v>
      </c>
      <c r="D23" s="12">
        <f>SUMIF(DATA!A:A,A23,DATA!G:G)</f>
        <v>0</v>
      </c>
    </row>
    <row r="24" spans="1:4" x14ac:dyDescent="0.2">
      <c r="A24" t="s">
        <v>37</v>
      </c>
      <c r="B24" s="12">
        <f>SUMIF(DATA!A:A,A24,DATA!E:E)</f>
        <v>440.5</v>
      </c>
      <c r="C24" s="12">
        <f>SUMIF(DATA!A:A,A24,DATA!F:F)</f>
        <v>440.5</v>
      </c>
      <c r="D24" s="12">
        <f>SUMIF(DATA!A:A,A24,DATA!G:G)</f>
        <v>0</v>
      </c>
    </row>
    <row r="25" spans="1:4" x14ac:dyDescent="0.2">
      <c r="A25" t="s">
        <v>129</v>
      </c>
      <c r="B25" s="12">
        <f>SUMIF(DATA!A:A,A25,DATA!E:E)</f>
        <v>339</v>
      </c>
      <c r="C25" s="12">
        <f>SUMIF(DATA!A:A,A25,DATA!F:F)</f>
        <v>339</v>
      </c>
      <c r="D25" s="12">
        <f>SUMIF(DATA!A:A,A25,DATA!G:G)</f>
        <v>0</v>
      </c>
    </row>
    <row r="26" spans="1:4" x14ac:dyDescent="0.2">
      <c r="A26" t="s">
        <v>113</v>
      </c>
      <c r="B26" s="12">
        <f>SUMIF(DATA!A:A,A26,DATA!E:E)</f>
        <v>332.8</v>
      </c>
      <c r="C26" s="12">
        <f>SUMIF(DATA!A:A,A26,DATA!F:F)</f>
        <v>332.8</v>
      </c>
      <c r="D26" s="12">
        <f>SUMIF(DATA!A:A,A26,DATA!G:G)</f>
        <v>0</v>
      </c>
    </row>
    <row r="27" spans="1:4" x14ac:dyDescent="0.2">
      <c r="A27" t="s">
        <v>87</v>
      </c>
      <c r="B27" s="12">
        <f>SUMIF(DATA!A:A,A27,DATA!E:E)</f>
        <v>277</v>
      </c>
      <c r="C27" s="12">
        <f>SUMIF(DATA!A:A,A27,DATA!F:F)</f>
        <v>277</v>
      </c>
      <c r="D27" s="12">
        <f>SUMIF(DATA!A:A,A27,DATA!G:G)</f>
        <v>0</v>
      </c>
    </row>
    <row r="28" spans="1:4" x14ac:dyDescent="0.2">
      <c r="A28" t="s">
        <v>51</v>
      </c>
      <c r="B28" s="12">
        <f>SUMIF(DATA!A:A,A28,DATA!E:E)</f>
        <v>272.7</v>
      </c>
      <c r="C28" s="12">
        <f>SUMIF(DATA!A:A,A28,DATA!F:F)</f>
        <v>272.7</v>
      </c>
      <c r="D28" s="12">
        <f>SUMIF(DATA!A:A,A28,DATA!G:G)</f>
        <v>0</v>
      </c>
    </row>
    <row r="30" spans="1:4" ht="21" x14ac:dyDescent="0.25">
      <c r="A30" s="9" t="s">
        <v>204</v>
      </c>
    </row>
    <row r="31" spans="1:4" ht="32" customHeight="1" x14ac:dyDescent="0.2">
      <c r="A31" s="4" t="s">
        <v>195</v>
      </c>
      <c r="B31" s="4" t="s">
        <v>196</v>
      </c>
      <c r="C31" s="4" t="s">
        <v>197</v>
      </c>
      <c r="D31" s="4" t="s">
        <v>185</v>
      </c>
    </row>
    <row r="32" spans="1:4" x14ac:dyDescent="0.2">
      <c r="A32" t="s">
        <v>198</v>
      </c>
      <c r="B32">
        <f>COUNTIF(DATA!Q2:Q111,"Yes")</f>
        <v>39</v>
      </c>
      <c r="C32" s="12">
        <f>SUMIF(DATA!Q2:Q111,"Yes",DATA!E2:E111)</f>
        <v>9022.7899999999991</v>
      </c>
      <c r="D32" s="13">
        <f>IF($B$34=0,0,B32/$B$34)</f>
        <v>0.35454545454545455</v>
      </c>
    </row>
    <row r="33" spans="1:4" x14ac:dyDescent="0.2">
      <c r="A33" t="s">
        <v>199</v>
      </c>
      <c r="B33">
        <f>COUNTIF(DATA!Q2:Q111,"No")</f>
        <v>71</v>
      </c>
      <c r="C33" s="12">
        <f>SUMIF(DATA!Q2:Q111,"No",DATA!E2:E111)</f>
        <v>13527.720000000003</v>
      </c>
      <c r="D33" s="13">
        <f>IF($B$34=0,0,B33/$B$34)</f>
        <v>0.6454545454545455</v>
      </c>
    </row>
    <row r="34" spans="1:4" x14ac:dyDescent="0.2">
      <c r="A34" s="11" t="s">
        <v>189</v>
      </c>
      <c r="B34" s="11">
        <f>SUM(B32:B33)</f>
        <v>110</v>
      </c>
      <c r="C34" s="15">
        <f>SUM(C32:C33)</f>
        <v>22550.510000000002</v>
      </c>
      <c r="D34" s="16">
        <f>SUM(D32:D33)</f>
        <v>1</v>
      </c>
    </row>
  </sheetData>
  <mergeCells count="1">
    <mergeCell ref="A1:C1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F04BE-32AE-A449-A8A3-C868709B7F1E}">
  <dimension ref="A1"/>
  <sheetViews>
    <sheetView tabSelected="1"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About</vt:lpstr>
      <vt:lpstr>Calculations</vt:lpstr>
      <vt:lpstr>Aging pivot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Haley Maes</cp:lastModifiedBy>
  <dcterms:created xsi:type="dcterms:W3CDTF">2026-10-15T21:24:51Z</dcterms:created>
  <dcterms:modified xsi:type="dcterms:W3CDTF">2026-10-21T05:59:29Z</dcterms:modified>
</cp:coreProperties>
</file>